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371" windowWidth="14130" windowHeight="8670" tabRatio="708" activeTab="0"/>
  </bookViews>
  <sheets>
    <sheet name="Présentation" sheetId="1" r:id="rId1"/>
    <sheet name="Résultats" sheetId="2" r:id="rId2"/>
    <sheet name="Etalonnage BF" sheetId="3" r:id="rId3"/>
    <sheet name="Etalonnage HF" sheetId="4" r:id="rId4"/>
  </sheets>
  <definedNames>
    <definedName name="Bpe">'Etalonnage HF'!$G$6</definedName>
    <definedName name="Bpm">'Etalonnage BF'!$D$47</definedName>
    <definedName name="Bpr">'Etalonnage BF'!#REF!</definedName>
    <definedName name="Cda">'Résultats'!$D$27</definedName>
    <definedName name="Cdn">'Résultats'!$D$37</definedName>
    <definedName name="Cha">'Résultats'!$D$25</definedName>
    <definedName name="Chn">'Résultats'!$D$36</definedName>
    <definedName name="Cm">'Etalonnage BF'!#REF!</definedName>
    <definedName name="Cn">'Etalonnage BF'!#REF!</definedName>
    <definedName name="Corr">'Etalonnage HF'!$C$6</definedName>
    <definedName name="Cr">'Etalonnage BF'!$F$48</definedName>
    <definedName name="da">'Résultats'!$B$27</definedName>
    <definedName name="dn">'Résultats'!$B$37</definedName>
    <definedName name="Em">'Résultats'!$B$30</definedName>
    <definedName name="Fr">'Résultats'!$B$5</definedName>
    <definedName name="Fre">'Résultats'!$B$10</definedName>
    <definedName name="Freg">'Résultats'!$C$28</definedName>
    <definedName name="Kh">'Résultats'!$B$6</definedName>
    <definedName name="Kv">'Résultats'!$B$7</definedName>
    <definedName name="La">'Etalonnage HF'!$L$14</definedName>
    <definedName name="Lb">'Etalonnage HF'!$L$15</definedName>
    <definedName name="Ld">'Etalonnage HF'!$L$17</definedName>
    <definedName name="Le">'Etalonnage HF'!$L$18</definedName>
    <definedName name="Lf">'Etalonnage HF'!$L$19</definedName>
    <definedName name="Lg">'Etalonnage HF'!$L$21</definedName>
    <definedName name="Lz">'Etalonnage HF'!$L$16</definedName>
    <definedName name="Max">'Etalonnage BF'!#REF!</definedName>
    <definedName name="Mx">'Etalonnage BF'!$B$44</definedName>
    <definedName name="Re">'Etalonnage BF'!$D$44</definedName>
    <definedName name="Ref">'Etalonnage BF'!#REF!</definedName>
    <definedName name="Ru">'Etalonnage BF'!$F$44</definedName>
    <definedName name="Sbr">'Etalonnage HF'!$H$10</definedName>
    <definedName name="Se">'Etalonnage BF'!$D$6</definedName>
    <definedName name="_xlnm.Print_Area" localSheetId="2">'Etalonnage BF'!$A$2:$I$48</definedName>
    <definedName name="_xlnm.Print_Area" localSheetId="3">'Etalonnage HF'!$A$2:$J$53</definedName>
    <definedName name="_xlnm.Print_Area" localSheetId="1">'Résultats'!$A$2:$I$48</definedName>
  </definedNames>
  <calcPr fullCalcOnLoad="1"/>
</workbook>
</file>

<file path=xl/sharedStrings.xml><?xml version="1.0" encoding="utf-8"?>
<sst xmlns="http://schemas.openxmlformats.org/spreadsheetml/2006/main" count="245" uniqueCount="162">
  <si>
    <t>dB</t>
  </si>
  <si>
    <t xml:space="preserve">Valeur de seuil retenue : </t>
  </si>
  <si>
    <t xml:space="preserve">Fréquence </t>
  </si>
  <si>
    <t>Relevé</t>
  </si>
  <si>
    <t>Ecart/</t>
  </si>
  <si>
    <t>BF en Hz</t>
  </si>
  <si>
    <t>(dB)</t>
  </si>
  <si>
    <t>Max (dB)</t>
  </si>
  <si>
    <t xml:space="preserve"> (%)</t>
  </si>
  <si>
    <t>Max =&gt;</t>
  </si>
  <si>
    <t>Total =&gt;</t>
  </si>
  <si>
    <t>Bande passante effective =&gt;</t>
  </si>
  <si>
    <t>Ondulation maximum  =&gt;</t>
  </si>
  <si>
    <t xml:space="preserve">   Contribution </t>
  </si>
  <si>
    <t>Puissance</t>
  </si>
  <si>
    <t>kHz</t>
  </si>
  <si>
    <t>Nombre de relevés utiles =&gt;</t>
  </si>
  <si>
    <t>Impact du filtrage à</t>
  </si>
  <si>
    <t>(Ref. 0dB)</t>
  </si>
  <si>
    <t xml:space="preserve">    Filtrée (%)</t>
  </si>
  <si>
    <t>Correction</t>
  </si>
  <si>
    <t xml:space="preserve">  retenue</t>
  </si>
  <si>
    <t xml:space="preserve">Seuil de filtrage choisi : </t>
  </si>
  <si>
    <r>
      <t xml:space="preserve">dB  </t>
    </r>
    <r>
      <rPr>
        <i/>
        <sz val="9"/>
        <rFont val="Arial"/>
        <family val="2"/>
      </rPr>
      <t>&lt;= (Recommandé de -6 à -12 dB)</t>
    </r>
  </si>
  <si>
    <t>Calcul des paramètres de réception utiles</t>
  </si>
  <si>
    <t>A partir de relevés d'étalonnage BF</t>
  </si>
  <si>
    <t>MHz</t>
  </si>
  <si>
    <t xml:space="preserve">Part  HF à </t>
  </si>
  <si>
    <t>%</t>
  </si>
  <si>
    <t xml:space="preserve">Part VHF à </t>
  </si>
  <si>
    <t>A partir des paramètres du récepteur :</t>
  </si>
  <si>
    <t>Facteur de bruit :</t>
  </si>
  <si>
    <t>Bande passante :</t>
  </si>
  <si>
    <t>Plancher de bruit :</t>
  </si>
  <si>
    <t>dBm</t>
  </si>
  <si>
    <t>Champ électrique sur antenne de réception :</t>
  </si>
  <si>
    <t>Antenne Mobile (M) ou Fixe (F) :</t>
  </si>
  <si>
    <t>F</t>
  </si>
  <si>
    <t>Cha =</t>
  </si>
  <si>
    <t>Antenne retenue :</t>
  </si>
  <si>
    <t>Distance antenne :</t>
  </si>
  <si>
    <t>m ; Cda =</t>
  </si>
  <si>
    <t>Gain isotropique estimé :</t>
  </si>
  <si>
    <t>dBi</t>
  </si>
  <si>
    <t>Pertes du cable  d'antenne :</t>
  </si>
  <si>
    <t>Champ moyen mesuré :</t>
  </si>
  <si>
    <t>dBµV/m</t>
  </si>
  <si>
    <t>Conversion aux conditions normalisées :</t>
  </si>
  <si>
    <t>N</t>
  </si>
  <si>
    <t xml:space="preserve"> O (Oui) ou N (Non)</t>
  </si>
  <si>
    <t>Réponse retenue :</t>
  </si>
  <si>
    <t xml:space="preserve"> :  Chn =</t>
  </si>
  <si>
    <t xml:space="preserve">Distance normalisée  : </t>
  </si>
  <si>
    <t>m ; Cdn =</t>
  </si>
  <si>
    <t>Champ moyen normalisé :</t>
  </si>
  <si>
    <t>Comparaison à la norme NB30 :</t>
  </si>
  <si>
    <t>CALCUL DES CHAMPS ELECTRIQUES</t>
  </si>
  <si>
    <t>A partir des relevés étalonnés en réception</t>
  </si>
  <si>
    <t xml:space="preserve">MESURES HF SUR RECEPTEUR </t>
  </si>
  <si>
    <t>Etalonnage :</t>
  </si>
  <si>
    <t>Mesure fixe à h&lt;2m ?</t>
  </si>
  <si>
    <t>Fréquence</t>
  </si>
  <si>
    <t>Niveau de</t>
  </si>
  <si>
    <t>Facteur de</t>
  </si>
  <si>
    <t>(MHz)</t>
  </si>
  <si>
    <t>(dBm)</t>
  </si>
  <si>
    <t>bruit (dBm)</t>
  </si>
  <si>
    <t>bruit (dB)</t>
  </si>
  <si>
    <t xml:space="preserve">Fréquence du signal choisie pour l'analyse  BF : </t>
  </si>
  <si>
    <t>Fréquence retenue :</t>
  </si>
  <si>
    <t xml:space="preserve">Correction retenue : </t>
  </si>
  <si>
    <t xml:space="preserve">dB  </t>
  </si>
  <si>
    <t>Hz</t>
  </si>
  <si>
    <t>Mesure de sensibilité :</t>
  </si>
  <si>
    <t>SINAD lu =</t>
  </si>
  <si>
    <t>(SINAD vrai =</t>
  </si>
  <si>
    <t>dB) ou S/B =</t>
  </si>
  <si>
    <t>Calibration de la fréquence :</t>
  </si>
  <si>
    <t xml:space="preserve">Fréquence de mesure = </t>
  </si>
  <si>
    <t>Bande passante normalisée :</t>
  </si>
  <si>
    <t>Etalonnage du S-mètre :</t>
  </si>
  <si>
    <r>
      <t xml:space="preserve">Hertz </t>
    </r>
    <r>
      <rPr>
        <b/>
        <sz val="10"/>
        <rFont val="Arial"/>
        <family val="2"/>
      </rPr>
      <t xml:space="preserve">&lt;= </t>
    </r>
    <r>
      <rPr>
        <b/>
        <i/>
        <sz val="10"/>
        <rFont val="Arial"/>
        <family val="2"/>
      </rPr>
      <t>( Entre 1200 et 1900 Hertz !)</t>
    </r>
  </si>
  <si>
    <t>S-1</t>
  </si>
  <si>
    <t>S-2</t>
  </si>
  <si>
    <t>S-3</t>
  </si>
  <si>
    <t>S-4</t>
  </si>
  <si>
    <t>S-5</t>
  </si>
  <si>
    <t>S-6</t>
  </si>
  <si>
    <t>S-7</t>
  </si>
  <si>
    <t>S-8</t>
  </si>
  <si>
    <t>dB/Bruit (lu)</t>
  </si>
  <si>
    <t>Moyenne du point S =</t>
  </si>
  <si>
    <t>Valeur moyenne de la réduction de bruit en fonction de l'indication S-mètre :</t>
  </si>
  <si>
    <t>dB ( moy.)</t>
  </si>
  <si>
    <t>dB/Bruit reel</t>
  </si>
  <si>
    <t>dBm (géné.)</t>
  </si>
  <si>
    <t>S2-S1</t>
  </si>
  <si>
    <t>S3-S2</t>
  </si>
  <si>
    <t>S4-S3</t>
  </si>
  <si>
    <t>S5-S4</t>
  </si>
  <si>
    <t>S6-S5</t>
  </si>
  <si>
    <t>S7-S6</t>
  </si>
  <si>
    <t>S8-S7</t>
  </si>
  <si>
    <t>Relevé indication du S-mètre</t>
  </si>
  <si>
    <t xml:space="preserve">entre 0 et 8 </t>
  </si>
  <si>
    <t>Indication S retenue :</t>
  </si>
  <si>
    <t>Reduct. Bruit =</t>
  </si>
  <si>
    <t xml:space="preserve">Niveau moyen de perturb. : </t>
  </si>
  <si>
    <t>Atténuation externe / Antenne :</t>
  </si>
  <si>
    <t xml:space="preserve">S : </t>
  </si>
  <si>
    <t>Etalonnage S-mètre</t>
  </si>
  <si>
    <t>Niveau HF</t>
  </si>
  <si>
    <t>Dégradation moyenne / analyseur :</t>
  </si>
  <si>
    <t xml:space="preserve">Niveau quasi-crête de perturb: </t>
  </si>
  <si>
    <t>Dégradation moyenne réelle :</t>
  </si>
  <si>
    <t>Limite moyenne estimée :</t>
  </si>
  <si>
    <t>Limite quasi-crête précisée:</t>
  </si>
  <si>
    <t>Ecart mesure- limite (moyenne) :</t>
  </si>
  <si>
    <t>Ecart mesure- limite (quasi-crête) :</t>
  </si>
  <si>
    <t>E moyen dans Bp normalisée :</t>
  </si>
  <si>
    <t>E quasi-crête dans BP normalisée :</t>
  </si>
  <si>
    <t xml:space="preserve">Ecart quasi-crête-moyenne : </t>
  </si>
  <si>
    <r>
      <t xml:space="preserve">Correspondance à l'indication S du niveau de </t>
    </r>
    <r>
      <rPr>
        <b/>
        <i/>
        <sz val="10"/>
        <rFont val="Arial"/>
        <family val="2"/>
      </rPr>
      <t>signal HF en dBm</t>
    </r>
    <r>
      <rPr>
        <i/>
        <sz val="10"/>
        <rFont val="Arial"/>
        <family val="2"/>
      </rPr>
      <t xml:space="preserve"> injecté </t>
    </r>
  </si>
  <si>
    <r>
      <t xml:space="preserve">et de la </t>
    </r>
    <r>
      <rPr>
        <b/>
        <i/>
        <sz val="10"/>
        <rFont val="Arial"/>
        <family val="2"/>
      </rPr>
      <t>réduction de bruit en dB</t>
    </r>
    <r>
      <rPr>
        <i/>
        <sz val="10"/>
        <rFont val="Arial"/>
        <family val="2"/>
      </rPr>
      <t xml:space="preserve"> par la CAG mesurée à l'analyseur de spectre BF</t>
    </r>
  </si>
  <si>
    <t>Les fréquences utilisées pour les mesures sont rangées par ordre croissant</t>
  </si>
  <si>
    <r>
      <t xml:space="preserve">* Les données de base provenant d'informations mesurées ou autres à introduire manuellement sont repérées </t>
    </r>
    <r>
      <rPr>
        <sz val="10"/>
        <rFont val="Arial"/>
        <family val="0"/>
      </rPr>
      <t xml:space="preserve"> </t>
    </r>
  </si>
  <si>
    <t>en rouge sur fond jaune</t>
  </si>
  <si>
    <t>Présentation de la Feuille de Calcul  de champs électriques à partir de mesures sur récepteur étalonné</t>
  </si>
  <si>
    <t>* Organisation en 3 pages interactives d'échangeant les informations utiles :</t>
  </si>
  <si>
    <t>en bleu</t>
  </si>
  <si>
    <t>Page Résultat :</t>
  </si>
  <si>
    <t>de la fréquence au pas de 100 Hertz.</t>
  </si>
  <si>
    <t xml:space="preserve">appliquer aux rapports S/B en fonction du choix. </t>
  </si>
  <si>
    <t>Cet étalonnage est une caractéristique immuable de réception à n'importe quelle fréquence.</t>
  </si>
  <si>
    <t>(Les données existantes à titre d'exemple ou applicables à des mesures antérieures sur d'autres produits sont à remplacer par les nouvelles.)</t>
  </si>
  <si>
    <t>En cas de réutilisation du même récepteur pour plusieurs mesures les données d'étalonnage des pages suivantes sont à conserver</t>
  </si>
  <si>
    <t xml:space="preserve">déterminés sur les 2 autres pages et extraits automatiquement des tableaux relatifs à la fréquence la plus proche. </t>
  </si>
  <si>
    <t>&gt; Cette page effectue les calculs utiles à une fréquence de mesure choisie en utilisant automatiquement les paramètres d'étalonnage</t>
  </si>
  <si>
    <r>
      <t xml:space="preserve">&gt; Les </t>
    </r>
    <r>
      <rPr>
        <b/>
        <sz val="10"/>
        <rFont val="Arial"/>
        <family val="2"/>
      </rPr>
      <t xml:space="preserve"> 3 données</t>
    </r>
    <r>
      <rPr>
        <sz val="10"/>
        <rFont val="Arial"/>
        <family val="2"/>
      </rPr>
      <t xml:space="preserve"> caractérisant le signal à mesurer sont directement issues de l'analyse en réception et de la configuration d'essai.</t>
    </r>
  </si>
  <si>
    <t xml:space="preserve">&gt; Les caractéristiques de l'antenne de réception et de distance de séparation avec la source à qualifier servent à calculer le champ </t>
  </si>
  <si>
    <t>&gt; Cette page recueille les données de mesure relatives de l'amplitude du signal BF sur une dynamique d'environ 30 dB en fonction</t>
  </si>
  <si>
    <t xml:space="preserve">&gt; Un seuil de filtrage, à choisir entre -6 et -12 dB, pour déterminer la bande passante utile est introduit manuellement </t>
  </si>
  <si>
    <t>&gt; La bande passante et l'ondulation du filtrage sont déterminées par calcul.</t>
  </si>
  <si>
    <t xml:space="preserve">&gt; Une suggestion de 8 fréquences BF à choisir entre1200 et 1900 Hertz pour les mesures est proposée avec les corrections à  </t>
  </si>
  <si>
    <t xml:space="preserve">&gt; Les conditions de mesure dans lesquelles la source sous contrôle est qualifiée sont précisées afin de permettre une transposition </t>
  </si>
  <si>
    <t>électrique au lieu d'installation. Elles sont à vérifier et/ou à modifier à chaque mesure.</t>
  </si>
  <si>
    <t>des résultats relevés à une configuration d'essai identique pour effectuer une comparaison par rapport aux limites ( NB30 par défaut)</t>
  </si>
  <si>
    <t>Page Étalonnage HF :</t>
  </si>
  <si>
    <t>Cet étalonnage est une caractéristique de réception à conserver pour toute mesure à effectuer dans la gamme de fréquence correspondante</t>
  </si>
  <si>
    <t xml:space="preserve">* Les paramètres calculés utiles (caractéristiques du récepteur…) à transférer entre pages sont repérés </t>
  </si>
  <si>
    <t>Page Étalonnage BF :</t>
  </si>
  <si>
    <t>&gt; Les relevés sont corrigés en fonction des résultats d'étalonnage BF pour la fréquence choisie.</t>
  </si>
  <si>
    <t>&gt; Cette page réunit toutes les informations nécessaires aux mesures HF à partir de l'étalonnage BF et de calibrages à effectuer</t>
  </si>
  <si>
    <t>à l'aide d'un générateur non modulé, sur réception en mode BLU à une fréquence BF choisie pour l'analyse.</t>
  </si>
  <si>
    <t>&gt; On peut introduire jusqu'à 8 fréquences HF/VHF auxquelles l'étalonnage est effectué en respectant un ordre croissant.</t>
  </si>
  <si>
    <t>&gt; La sensibilité est caractérisée par le niveau (en dBm) de signal donnant une mesure SINAD choisie manuellement.</t>
  </si>
  <si>
    <t>&gt; Les planchers de bruit en réception et les facteurs y correspondant sont calculés avec les corrections des résultats d'étalonnage BF</t>
  </si>
  <si>
    <t xml:space="preserve">&gt; L'étalonnage du S-mètre (de S-1 à S-8) est effectué sur chacune des fréquences retenues par repérage du niveau de sortie </t>
  </si>
  <si>
    <t xml:space="preserve">du générateur étalon. L'analyse spectrale BF accompagnant cette mesure permet de déterminer la réduction du niveau de bruit de fond </t>
  </si>
  <si>
    <t>sur action de la CAG du récepteur à ces valeurs de points S.</t>
  </si>
  <si>
    <t>&gt; Une valeur moyenne de réduction de bruit en fonction de l'affichage S est retenue pour application éventuelle sur les résultats.</t>
  </si>
  <si>
    <t xml:space="preserve">kHz </t>
  </si>
</sst>
</file>

<file path=xl/styles.xml><?xml version="1.0" encoding="utf-8"?>
<styleSheet xmlns="http://schemas.openxmlformats.org/spreadsheetml/2006/main">
  <numFmts count="1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;[Red]0.0"/>
    <numFmt numFmtId="165" formatCode="0.0_ ;[Red]\-0.0\ "/>
    <numFmt numFmtId="166" formatCode="0.0"/>
    <numFmt numFmtId="167" formatCode="General\ \d\B"/>
    <numFmt numFmtId="168" formatCode="General\ \d\B\=\&gt;"/>
  </numFmts>
  <fonts count="27">
    <font>
      <sz val="10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color indexed="30"/>
      <name val="Arial"/>
      <family val="2"/>
    </font>
    <font>
      <i/>
      <sz val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double"/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9"/>
      <color indexed="17"/>
      <name val="Arial"/>
      <family val="2"/>
    </font>
    <font>
      <b/>
      <i/>
      <u val="single"/>
      <sz val="9"/>
      <name val="Arial"/>
      <family val="2"/>
    </font>
    <font>
      <b/>
      <i/>
      <u val="single"/>
      <sz val="10"/>
      <name val="Arial"/>
      <family val="2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2" fontId="1" fillId="0" borderId="7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66" fontId="4" fillId="2" borderId="5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166" fontId="1" fillId="0" borderId="1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6" fontId="4" fillId="2" borderId="3" xfId="0" applyNumberFormat="1" applyFont="1" applyFill="1" applyBorder="1" applyAlignment="1" applyProtection="1">
      <alignment horizontal="center"/>
      <protection locked="0"/>
    </xf>
    <xf numFmtId="2" fontId="1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3" borderId="6" xfId="0" applyFill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3" borderId="7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0" fillId="3" borderId="4" xfId="0" applyFill="1" applyBorder="1" applyAlignment="1">
      <alignment/>
    </xf>
    <xf numFmtId="166" fontId="7" fillId="0" borderId="9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165" fontId="1" fillId="2" borderId="0" xfId="0" applyNumberFormat="1" applyFont="1" applyFill="1" applyAlignment="1" applyProtection="1">
      <alignment horizontal="center"/>
      <protection locked="0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6" fontId="4" fillId="2" borderId="0" xfId="0" applyNumberFormat="1" applyFont="1" applyFill="1" applyBorder="1" applyAlignment="1" applyProtection="1">
      <alignment horizontal="center"/>
      <protection locked="0"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3" borderId="10" xfId="0" applyFill="1" applyBorder="1" applyAlignment="1">
      <alignment/>
    </xf>
    <xf numFmtId="1" fontId="0" fillId="0" borderId="3" xfId="0" applyNumberFormat="1" applyBorder="1" applyAlignment="1">
      <alignment horizontal="center"/>
    </xf>
    <xf numFmtId="0" fontId="1" fillId="0" borderId="11" xfId="0" applyFont="1" applyBorder="1" applyAlignment="1">
      <alignment/>
    </xf>
    <xf numFmtId="168" fontId="5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67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9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6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8" xfId="0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Alignment="1">
      <alignment/>
    </xf>
    <xf numFmtId="0" fontId="10" fillId="0" borderId="9" xfId="0" applyFont="1" applyBorder="1" applyAlignment="1">
      <alignment horizontal="right"/>
    </xf>
    <xf numFmtId="2" fontId="12" fillId="0" borderId="13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0" fillId="0" borderId="0" xfId="0" applyFont="1" applyBorder="1" applyAlignment="1">
      <alignment/>
    </xf>
    <xf numFmtId="166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right"/>
    </xf>
    <xf numFmtId="16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66" fontId="0" fillId="0" borderId="0" xfId="0" applyNumberFormat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9" xfId="0" applyBorder="1" applyAlignment="1">
      <alignment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 horizontal="righ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13" fillId="2" borderId="13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0" fillId="0" borderId="6" xfId="0" applyFont="1" applyBorder="1" applyAlignment="1">
      <alignment horizontal="right"/>
    </xf>
    <xf numFmtId="166" fontId="7" fillId="0" borderId="5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20" fillId="0" borderId="1" xfId="0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3" xfId="0" applyFont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5" xfId="0" applyFont="1" applyFill="1" applyBorder="1" applyAlignment="1">
      <alignment/>
    </xf>
    <xf numFmtId="166" fontId="5" fillId="0" borderId="3" xfId="0" applyNumberFormat="1" applyFont="1" applyBorder="1" applyAlignment="1">
      <alignment horizontal="center"/>
    </xf>
    <xf numFmtId="0" fontId="19" fillId="0" borderId="3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/>
    </xf>
    <xf numFmtId="166" fontId="17" fillId="0" borderId="4" xfId="0" applyNumberFormat="1" applyFont="1" applyBorder="1" applyAlignment="1">
      <alignment horizontal="right"/>
    </xf>
    <xf numFmtId="1" fontId="4" fillId="2" borderId="0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4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17" fillId="0" borderId="0" xfId="0" applyFont="1" applyAlignment="1">
      <alignment horizontal="center"/>
    </xf>
    <xf numFmtId="0" fontId="21" fillId="4" borderId="8" xfId="0" applyFont="1" applyFill="1" applyBorder="1" applyAlignment="1">
      <alignment horizontal="right"/>
    </xf>
    <xf numFmtId="0" fontId="21" fillId="4" borderId="10" xfId="0" applyFont="1" applyFill="1" applyBorder="1" applyAlignment="1">
      <alignment/>
    </xf>
    <xf numFmtId="0" fontId="22" fillId="4" borderId="10" xfId="0" applyFont="1" applyFill="1" applyBorder="1" applyAlignment="1">
      <alignment/>
    </xf>
    <xf numFmtId="0" fontId="22" fillId="4" borderId="4" xfId="0" applyFont="1" applyFill="1" applyBorder="1" applyAlignment="1">
      <alignment/>
    </xf>
    <xf numFmtId="0" fontId="21" fillId="4" borderId="13" xfId="0" applyFont="1" applyFill="1" applyBorder="1" applyAlignment="1">
      <alignment/>
    </xf>
    <xf numFmtId="0" fontId="22" fillId="4" borderId="13" xfId="0" applyFont="1" applyFill="1" applyBorder="1" applyAlignment="1">
      <alignment/>
    </xf>
    <xf numFmtId="0" fontId="22" fillId="4" borderId="2" xfId="0" applyFont="1" applyFill="1" applyBorder="1" applyAlignment="1">
      <alignment/>
    </xf>
    <xf numFmtId="0" fontId="23" fillId="4" borderId="9" xfId="0" applyFont="1" applyFill="1" applyBorder="1" applyAlignment="1">
      <alignment horizontal="right"/>
    </xf>
    <xf numFmtId="166" fontId="21" fillId="4" borderId="13" xfId="0" applyNumberFormat="1" applyFont="1" applyFill="1" applyBorder="1" applyAlignment="1">
      <alignment horizontal="center"/>
    </xf>
    <xf numFmtId="166" fontId="21" fillId="4" borderId="10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6" fontId="1" fillId="0" borderId="0" xfId="0" applyNumberFormat="1" applyFont="1" applyFill="1" applyBorder="1" applyAlignment="1" applyProtection="1">
      <alignment horizontal="center"/>
      <protection/>
    </xf>
    <xf numFmtId="1" fontId="4" fillId="2" borderId="0" xfId="0" applyNumberFormat="1" applyFont="1" applyFill="1" applyAlignment="1" applyProtection="1">
      <alignment horizont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2" fontId="4" fillId="2" borderId="3" xfId="0" applyNumberFormat="1" applyFont="1" applyFill="1" applyBorder="1" applyAlignment="1" applyProtection="1">
      <alignment horizontal="center"/>
      <protection locked="0"/>
    </xf>
    <xf numFmtId="167" fontId="4" fillId="2" borderId="0" xfId="0" applyNumberFormat="1" applyFont="1" applyFill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showGridLines="0" tabSelected="1" workbookViewId="0" topLeftCell="A2">
      <selection activeCell="K4" sqref="K4"/>
    </sheetView>
  </sheetViews>
  <sheetFormatPr defaultColWidth="11.421875" defaultRowHeight="12.75"/>
  <cols>
    <col min="1" max="1" width="8.28125" style="0" customWidth="1"/>
    <col min="2" max="2" width="13.28125" style="0" customWidth="1"/>
    <col min="6" max="6" width="15.00390625" style="0" customWidth="1"/>
    <col min="7" max="7" width="14.8515625" style="0" customWidth="1"/>
    <col min="8" max="8" width="5.57421875" style="0" customWidth="1"/>
    <col min="9" max="9" width="10.140625" style="0" customWidth="1"/>
    <col min="10" max="10" width="12.28125" style="0" customWidth="1"/>
  </cols>
  <sheetData>
    <row r="1" ht="7.5" customHeight="1"/>
    <row r="2" ht="15.75">
      <c r="A2" s="123" t="s">
        <v>127</v>
      </c>
    </row>
    <row r="3" ht="6" customHeight="1"/>
    <row r="4" ht="12.75" customHeight="1">
      <c r="A4" s="143" t="s">
        <v>128</v>
      </c>
    </row>
    <row r="5" spans="1:10" ht="12.75" customHeight="1">
      <c r="A5" t="s">
        <v>125</v>
      </c>
      <c r="I5" s="185" t="s">
        <v>126</v>
      </c>
      <c r="J5" s="184"/>
    </row>
    <row r="6" spans="1:10" ht="12.75" customHeight="1">
      <c r="A6" s="187" t="s">
        <v>134</v>
      </c>
      <c r="I6" s="188"/>
      <c r="J6" s="189"/>
    </row>
    <row r="7" spans="1:8" ht="12.75">
      <c r="A7" t="s">
        <v>149</v>
      </c>
      <c r="H7" s="186" t="s">
        <v>129</v>
      </c>
    </row>
    <row r="8" ht="6" customHeight="1"/>
    <row r="9" ht="14.25">
      <c r="A9" s="192" t="s">
        <v>130</v>
      </c>
    </row>
    <row r="10" ht="12.75">
      <c r="B10" s="132" t="s">
        <v>137</v>
      </c>
    </row>
    <row r="11" ht="12.75">
      <c r="B11" t="s">
        <v>136</v>
      </c>
    </row>
    <row r="12" ht="12.75">
      <c r="B12" s="132" t="s">
        <v>138</v>
      </c>
    </row>
    <row r="13" ht="12.75">
      <c r="B13" t="s">
        <v>139</v>
      </c>
    </row>
    <row r="14" ht="12.75">
      <c r="B14" t="s">
        <v>145</v>
      </c>
    </row>
    <row r="15" ht="12.75">
      <c r="B15" t="s">
        <v>144</v>
      </c>
    </row>
    <row r="16" ht="12.75">
      <c r="B16" t="s">
        <v>146</v>
      </c>
    </row>
    <row r="17" ht="12.75">
      <c r="B17" s="191" t="s">
        <v>135</v>
      </c>
    </row>
    <row r="18" ht="6" customHeight="1"/>
    <row r="19" ht="14.25">
      <c r="A19" s="192" t="s">
        <v>150</v>
      </c>
    </row>
    <row r="20" ht="12.75">
      <c r="B20" t="s">
        <v>140</v>
      </c>
    </row>
    <row r="21" ht="12.75">
      <c r="B21" t="s">
        <v>131</v>
      </c>
    </row>
    <row r="22" ht="12.75">
      <c r="B22" t="s">
        <v>141</v>
      </c>
    </row>
    <row r="23" ht="12.75">
      <c r="B23" t="s">
        <v>142</v>
      </c>
    </row>
    <row r="24" ht="12.75">
      <c r="B24" t="s">
        <v>143</v>
      </c>
    </row>
    <row r="25" ht="12.75">
      <c r="B25" t="s">
        <v>132</v>
      </c>
    </row>
    <row r="26" ht="12.75">
      <c r="B26" s="191" t="s">
        <v>133</v>
      </c>
    </row>
    <row r="27" ht="6" customHeight="1"/>
    <row r="28" ht="14.25">
      <c r="A28" s="192" t="s">
        <v>147</v>
      </c>
    </row>
    <row r="29" ht="12.75">
      <c r="B29" t="s">
        <v>152</v>
      </c>
    </row>
    <row r="30" ht="12.75">
      <c r="B30" t="s">
        <v>153</v>
      </c>
    </row>
    <row r="31" ht="12.75">
      <c r="B31" t="s">
        <v>154</v>
      </c>
    </row>
    <row r="32" ht="12.75">
      <c r="B32" t="s">
        <v>155</v>
      </c>
    </row>
    <row r="33" ht="12.75">
      <c r="B33" t="s">
        <v>156</v>
      </c>
    </row>
    <row r="34" ht="12.75">
      <c r="B34" t="s">
        <v>157</v>
      </c>
    </row>
    <row r="35" ht="12.75">
      <c r="B35" t="s">
        <v>158</v>
      </c>
    </row>
    <row r="36" ht="12.75">
      <c r="B36" t="s">
        <v>159</v>
      </c>
    </row>
    <row r="37" ht="12.75">
      <c r="B37" t="s">
        <v>151</v>
      </c>
    </row>
    <row r="38" ht="12.75">
      <c r="B38" t="s">
        <v>160</v>
      </c>
    </row>
    <row r="39" ht="12.75">
      <c r="B39" s="190" t="s">
        <v>148</v>
      </c>
    </row>
  </sheetData>
  <sheetProtection password="C8B3" sheet="1" objects="1" scenario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8"/>
  <sheetViews>
    <sheetView showGridLines="0" workbookViewId="0" topLeftCell="A5">
      <selection activeCell="L42" sqref="L42"/>
    </sheetView>
  </sheetViews>
  <sheetFormatPr defaultColWidth="11.421875" defaultRowHeight="12.75"/>
  <cols>
    <col min="1" max="1" width="33.28125" style="0" customWidth="1"/>
    <col min="2" max="2" width="10.421875" style="0" customWidth="1"/>
    <col min="3" max="3" width="13.140625" style="0" customWidth="1"/>
    <col min="4" max="4" width="5.57421875" style="0" customWidth="1"/>
    <col min="5" max="5" width="4.8515625" style="0" customWidth="1"/>
    <col min="6" max="6" width="3.8515625" style="0" customWidth="1"/>
    <col min="7" max="7" width="3.28125" style="0" customWidth="1"/>
    <col min="8" max="8" width="7.00390625" style="0" customWidth="1"/>
    <col min="9" max="9" width="5.140625" style="0" customWidth="1"/>
    <col min="10" max="10" width="6.7109375" style="0" customWidth="1"/>
    <col min="11" max="11" width="3.8515625" style="0" customWidth="1"/>
  </cols>
  <sheetData>
    <row r="2" spans="1:2" ht="15.75">
      <c r="A2" s="85"/>
      <c r="B2" s="86" t="s">
        <v>56</v>
      </c>
    </row>
    <row r="3" spans="1:2" ht="15.75">
      <c r="A3" s="85"/>
      <c r="B3" s="86" t="s">
        <v>57</v>
      </c>
    </row>
    <row r="4" ht="8.25" customHeight="1"/>
    <row r="5" spans="1:5" ht="15">
      <c r="A5" s="87" t="s">
        <v>78</v>
      </c>
      <c r="B5" s="125">
        <v>14</v>
      </c>
      <c r="C5" s="88" t="s">
        <v>26</v>
      </c>
      <c r="D5" s="89"/>
      <c r="E5" s="90"/>
    </row>
    <row r="6" spans="1:5" ht="12.75">
      <c r="A6" s="91" t="s">
        <v>27</v>
      </c>
      <c r="B6" s="92">
        <f>IF(Fr&lt;30,100,IF(Fr&gt;100,0,100*(100-Fr)/70))</f>
        <v>100</v>
      </c>
      <c r="C6" s="66" t="s">
        <v>28</v>
      </c>
      <c r="D6" s="66"/>
      <c r="E6" s="36"/>
    </row>
    <row r="7" spans="1:5" ht="12.75">
      <c r="A7" s="93" t="s">
        <v>29</v>
      </c>
      <c r="B7" s="94">
        <f>100-B6</f>
        <v>0</v>
      </c>
      <c r="C7" s="95" t="s">
        <v>28</v>
      </c>
      <c r="D7" s="95"/>
      <c r="E7" s="96"/>
    </row>
    <row r="8" spans="1:2" ht="6" customHeight="1">
      <c r="A8" s="3"/>
      <c r="B8" s="97"/>
    </row>
    <row r="9" spans="1:8" ht="15">
      <c r="A9" s="98"/>
      <c r="B9" s="99" t="s">
        <v>30</v>
      </c>
      <c r="C9" s="89"/>
      <c r="D9" s="89"/>
      <c r="E9" s="100"/>
      <c r="H9" s="161" t="s">
        <v>110</v>
      </c>
    </row>
    <row r="10" spans="1:9" ht="12.75" customHeight="1">
      <c r="A10" s="139" t="s">
        <v>77</v>
      </c>
      <c r="B10" s="142">
        <f>IF(Fr/'Etalonnage HF'!A14&lt;La,'Etalonnage HF'!A14,IF(Fr/'Etalonnage HF'!A15&lt;Lb,'Etalonnage HF'!A15,IF(Fr/'Etalonnage HF'!A16&lt;Lz,'Etalonnage HF'!A16,IF(Fr/'Etalonnage HF'!A17&lt;Ld,'Etalonnage HF'!A17,IF(Fr/'Etalonnage HF'!E14&lt;Le,'Etalonnage HF'!E14,IF(Fr/'Etalonnage HF'!E15&lt;Lf,'Etalonnage HF'!E15,IF(Fr/'Etalonnage HF'!E16&lt;Lg,'Etalonnage HF'!E16,'Etalonnage HF'!E17)))))))</f>
        <v>14.15</v>
      </c>
      <c r="C10" s="101"/>
      <c r="D10" s="101"/>
      <c r="E10" s="36"/>
      <c r="G10" s="76" t="s">
        <v>109</v>
      </c>
      <c r="H10" s="159" t="s">
        <v>111</v>
      </c>
      <c r="I10" s="160"/>
    </row>
    <row r="11" spans="1:9" ht="12.75">
      <c r="A11" s="91" t="s">
        <v>31</v>
      </c>
      <c r="B11" s="175">
        <f>IF(Fr/'Etalonnage HF'!A14&lt;La,'Etalonnage HF'!D14,IF(Fr/'Etalonnage HF'!A15&lt;Lb,'Etalonnage HF'!D15,IF(Fr/'Etalonnage HF'!A16&lt;Lz,'Etalonnage HF'!D16,IF(Fr/'Etalonnage HF'!A17&lt;Ld,'Etalonnage HF'!D17,IF(Fr/'Etalonnage HF'!E14&lt;Le,'Etalonnage HF'!H14,IF(Fr/'Etalonnage HF'!E15&lt;Lf,'Etalonnage HF'!H15,IF(Fr/'Etalonnage HF'!E16&lt;Lg,'Etalonnage HF'!H16,'Etalonnage HF'!H17)))))))</f>
        <v>7.972832206451834</v>
      </c>
      <c r="C11" s="66" t="s">
        <v>0</v>
      </c>
      <c r="D11" s="66"/>
      <c r="E11" s="36"/>
      <c r="G11" s="156">
        <v>1</v>
      </c>
      <c r="H11" s="133">
        <f>IF(Fre='Etalonnage HF'!A23,'Etalonnage HF'!B23,IF(Fre='Etalonnage HF'!A26,'Etalonnage HF'!B26,IF(Fre='Etalonnage HF'!A29,'Etalonnage HF'!B29,IF(Fre='Etalonnage HF'!A32,'Etalonnage HF'!B32,IF(Fre='Etalonnage HF'!A35,'Etalonnage HF'!B35,IF(Fre='Etalonnage HF'!A38,'Etalonnage HF'!B38,IF(Fre='Etalonnage HF'!A41,'Etalonnage HF'!B41,'Etalonnage HF'!B44)))))))</f>
        <v>-102.5</v>
      </c>
      <c r="I11" s="157" t="s">
        <v>34</v>
      </c>
    </row>
    <row r="12" spans="1:9" ht="12.75">
      <c r="A12" s="91" t="s">
        <v>32</v>
      </c>
      <c r="B12" s="176">
        <f>'Etalonnage BF'!F47</f>
        <v>2.1</v>
      </c>
      <c r="C12" s="66" t="s">
        <v>161</v>
      </c>
      <c r="D12" s="66"/>
      <c r="E12" s="36"/>
      <c r="G12" s="156">
        <f>G11+1</f>
        <v>2</v>
      </c>
      <c r="H12" s="133">
        <f>IF(Fre='Etalonnage HF'!A23,'Etalonnage HF'!C23,IF(Fre='Etalonnage HF'!A26,'Etalonnage HF'!C26,IF(Fre='Etalonnage HF'!A29,'Etalonnage HF'!C29,IF(Fre='Etalonnage HF'!A32,'Etalonnage HF'!C32,IF(Fre='Etalonnage HF'!A35,'Etalonnage HF'!C35,IF(Fre='Etalonnage HF'!A38,'Etalonnage HF'!C38,IF(Fre='Etalonnage HF'!A41,'Etalonnage HF'!C41,'Etalonnage HF'!C44)))))))</f>
        <v>-101.5</v>
      </c>
      <c r="I12" s="157" t="s">
        <v>34</v>
      </c>
    </row>
    <row r="13" spans="1:9" ht="12.75">
      <c r="A13" s="91" t="s">
        <v>103</v>
      </c>
      <c r="B13" s="155">
        <v>7</v>
      </c>
      <c r="C13" s="66" t="s">
        <v>104</v>
      </c>
      <c r="D13" s="66"/>
      <c r="E13" s="36"/>
      <c r="G13" s="156">
        <f aca="true" t="shared" si="0" ref="G13:G18">G12+1</f>
        <v>3</v>
      </c>
      <c r="H13" s="133">
        <f>IF(Fre='Etalonnage HF'!A23,'Etalonnage HF'!D23,IF(Fre='Etalonnage HF'!A26,'Etalonnage HF'!D26,IF(Fre='Etalonnage HF'!A29,'Etalonnage HF'!D29,IF(Fre='Etalonnage HF'!A32,'Etalonnage HF'!D32,IF(Fre='Etalonnage HF'!A35,'Etalonnage HF'!D35,IF(Fre='Etalonnage HF'!A38,'Etalonnage HF'!D38,IF(Fre='Etalonnage HF'!A41,'Etalonnage HF'!D41,'Etalonnage HF'!D44)))))))</f>
        <v>-100.5</v>
      </c>
      <c r="I13" s="157" t="s">
        <v>34</v>
      </c>
    </row>
    <row r="14" spans="1:9" ht="12.75">
      <c r="A14" s="91" t="s">
        <v>105</v>
      </c>
      <c r="B14" s="177">
        <f>IF(B13&lt;0,0,IF(B13&gt;8,8,INT(B13)))</f>
        <v>7</v>
      </c>
      <c r="C14" s="67" t="s">
        <v>106</v>
      </c>
      <c r="D14" s="102">
        <f>IF(B14=0,0,IF(B14=1,'Etalonnage HF'!B53,IF(B14=2,'Etalonnage HF'!C53,IF(B14=3,'Etalonnage HF'!D53,IF(B14=4,'Etalonnage HF'!E53,IF(B14=5,'Etalonnage HF'!F53,IF(B14=6,'Etalonnage HF'!G53,IF(B14=7,'Etalonnage HF'!H53,'Etalonnage HF'!I53))))))))</f>
        <v>-5.908794217847288</v>
      </c>
      <c r="E14" s="36" t="s">
        <v>0</v>
      </c>
      <c r="G14" s="156">
        <f t="shared" si="0"/>
        <v>4</v>
      </c>
      <c r="H14" s="133">
        <f>IF(Fre='Etalonnage HF'!A23,'Etalonnage HF'!E23,IF(Fre='Etalonnage HF'!A26,'Etalonnage HF'!E26,IF(Fre='Etalonnage HF'!A29,'Etalonnage HF'!E29,IF(Fre='Etalonnage HF'!A32,'Etalonnage HF'!E32,IF(Fre='Etalonnage HF'!A35,'Etalonnage HF'!E35,IF(Fre='Etalonnage HF'!A38,'Etalonnage HF'!E38,IF(Fre='Etalonnage HF'!A41,'Etalonnage HF'!E41,'Etalonnage HF'!E44)))))))</f>
        <v>-100</v>
      </c>
      <c r="I14" s="157" t="s">
        <v>34</v>
      </c>
    </row>
    <row r="15" spans="1:9" ht="12.75">
      <c r="A15" s="91" t="s">
        <v>108</v>
      </c>
      <c r="B15" s="68">
        <v>5</v>
      </c>
      <c r="C15" s="67" t="s">
        <v>0</v>
      </c>
      <c r="D15" s="66"/>
      <c r="E15" s="36"/>
      <c r="G15" s="156">
        <f t="shared" si="0"/>
        <v>5</v>
      </c>
      <c r="H15" s="133">
        <f>IF(Fre='Etalonnage HF'!A23,'Etalonnage HF'!F23,IF(Fre='Etalonnage HF'!A26,'Etalonnage HF'!F26,IF(Fre='Etalonnage HF'!A29,'Etalonnage HF'!F29,IF(Fre='Etalonnage HF'!A32,'Etalonnage HF'!F32,IF(Fre='Etalonnage HF'!A35,'Etalonnage HF'!F35,IF(Fre='Etalonnage HF'!A38,'Etalonnage HF'!F38,IF(Fre='Etalonnage HF'!A41,'Etalonnage HF'!F41,'Etalonnage HF'!F44)))))))</f>
        <v>-99.5</v>
      </c>
      <c r="I15" s="157" t="s">
        <v>34</v>
      </c>
    </row>
    <row r="16" spans="1:9" ht="12.75">
      <c r="A16" s="91" t="s">
        <v>113</v>
      </c>
      <c r="B16" s="178">
        <f>IF(B14=1,H11,IF(B14=2,H12,IF(B14=3,H13,IF(B14=4,H14,IF(B14=5,H15,IF(B14=6,H16,IF(B14=7,H17,IF(B14=8,H18,"inconnu"))))))))</f>
        <v>-97.5</v>
      </c>
      <c r="C16" s="67" t="s">
        <v>34</v>
      </c>
      <c r="D16" s="66"/>
      <c r="E16" s="36"/>
      <c r="G16" s="156">
        <f t="shared" si="0"/>
        <v>6</v>
      </c>
      <c r="H16" s="133">
        <f>IF(Fre='Etalonnage HF'!A23,'Etalonnage HF'!G23,IF(Fre='Etalonnage HF'!A26,'Etalonnage HF'!G26,IF(Fre='Etalonnage HF'!A29,'Etalonnage HF'!G29,IF(Fre='Etalonnage HF'!A32,'Etalonnage HF'!G32,IF(Fre='Etalonnage HF'!A35,'Etalonnage HF'!G35,IF(Fre='Etalonnage HF'!A38,'Etalonnage HF'!G38,IF(Fre='Etalonnage HF'!A41,'Etalonnage HF'!G41,'Etalonnage HF'!G44)))))))</f>
        <v>-98.5</v>
      </c>
      <c r="I16" s="157" t="s">
        <v>34</v>
      </c>
    </row>
    <row r="17" spans="1:9" ht="12.75">
      <c r="A17" s="91" t="s">
        <v>112</v>
      </c>
      <c r="B17" s="68">
        <v>17</v>
      </c>
      <c r="C17" s="67" t="s">
        <v>0</v>
      </c>
      <c r="D17" s="66"/>
      <c r="E17" s="36"/>
      <c r="G17" s="156">
        <f>G16+1</f>
        <v>7</v>
      </c>
      <c r="H17" s="133">
        <f>IF(Fre='Etalonnage HF'!A23,'Etalonnage HF'!H23,IF(Fre='Etalonnage HF'!A26,'Etalonnage HF'!H26,IF(Fre='Etalonnage HF'!A29,'Etalonnage HF'!H29,IF(Fre='Etalonnage HF'!A32,'Etalonnage HF'!H32,IF(Fre='Etalonnage HF'!A35,'Etalonnage HF'!H35,IF(Fre='Etalonnage HF'!A38,'Etalonnage HF'!H38,IF(Fre='Etalonnage HF'!A41,'Etalonnage HF'!H41,'Etalonnage HF'!H44)))))))</f>
        <v>-97.5</v>
      </c>
      <c r="I17" s="157" t="s">
        <v>34</v>
      </c>
    </row>
    <row r="18" spans="1:9" ht="12.75">
      <c r="A18" s="120" t="s">
        <v>114</v>
      </c>
      <c r="B18" s="179">
        <f>B17+B15-D14</f>
        <v>27.908794217847287</v>
      </c>
      <c r="C18" s="122" t="s">
        <v>0</v>
      </c>
      <c r="D18" s="122"/>
      <c r="E18" s="36"/>
      <c r="G18" s="26">
        <f t="shared" si="0"/>
        <v>8</v>
      </c>
      <c r="H18" s="172">
        <f>IF(Fre='Etalonnage HF'!A23,'Etalonnage HF'!I23,IF(Fre='Etalonnage HF'!A26,'Etalonnage HF'!I26,IF(Fre='Etalonnage HF'!A29,'Etalonnage HF'!I29,IF(Fre='Etalonnage HF'!A32,'Etalonnage HF'!I32,IF(Fre='Etalonnage HF'!A35,'Etalonnage HF'!I35,IF(Fre='Etalonnage HF'!A38,'Etalonnage HF'!I38,IF(Fre='Etalonnage HF'!A41,'Etalonnage HF'!I41,'Etalonnage HF'!I44)))))))</f>
        <v>-95</v>
      </c>
      <c r="I18" s="158" t="s">
        <v>34</v>
      </c>
    </row>
    <row r="19" spans="1:5" ht="12.75">
      <c r="A19" s="91" t="s">
        <v>33</v>
      </c>
      <c r="B19" s="102">
        <f>-174+B11+10*LOG(B12*1000)</f>
        <v>-132.80497484620898</v>
      </c>
      <c r="C19" s="66" t="s">
        <v>34</v>
      </c>
      <c r="D19" s="66"/>
      <c r="E19" s="36"/>
    </row>
    <row r="20" spans="1:5" ht="12.75" customHeight="1">
      <c r="A20" s="120" t="s">
        <v>107</v>
      </c>
      <c r="B20" s="121">
        <f>B19+B18</f>
        <v>-104.89618062836169</v>
      </c>
      <c r="C20" s="122" t="s">
        <v>34</v>
      </c>
      <c r="D20" s="66"/>
      <c r="E20" s="36"/>
    </row>
    <row r="21" spans="1:5" ht="12.75" customHeight="1">
      <c r="A21" s="103" t="s">
        <v>121</v>
      </c>
      <c r="B21" s="104">
        <f>IF(B14=0,"inconnu",B16-B20)</f>
        <v>7.396180628361691</v>
      </c>
      <c r="C21" s="105" t="s">
        <v>0</v>
      </c>
      <c r="D21" s="95"/>
      <c r="E21" s="96"/>
    </row>
    <row r="22" spans="1:2" ht="5.25" customHeight="1">
      <c r="A22" s="3"/>
      <c r="B22" s="106"/>
    </row>
    <row r="23" spans="1:5" ht="15" customHeight="1">
      <c r="A23" s="98"/>
      <c r="B23" s="107" t="s">
        <v>35</v>
      </c>
      <c r="C23" s="108"/>
      <c r="D23" s="108"/>
      <c r="E23" s="100"/>
    </row>
    <row r="24" spans="1:5" ht="3.75" customHeight="1">
      <c r="A24" s="65"/>
      <c r="B24" s="109"/>
      <c r="C24" s="66"/>
      <c r="D24" s="66"/>
      <c r="E24" s="36"/>
    </row>
    <row r="25" spans="1:5" ht="12.75">
      <c r="A25" s="91" t="s">
        <v>36</v>
      </c>
      <c r="B25" s="110" t="s">
        <v>37</v>
      </c>
      <c r="C25" s="111" t="s">
        <v>38</v>
      </c>
      <c r="D25" s="102">
        <f>IF(B25="M",3*Kh/100+6*Kv/100,0)</f>
        <v>0</v>
      </c>
      <c r="E25" s="36" t="s">
        <v>0</v>
      </c>
    </row>
    <row r="26" spans="1:5" ht="12.75">
      <c r="A26" s="91" t="s">
        <v>39</v>
      </c>
      <c r="B26" s="173" t="str">
        <f>IF(B25="M","Mobile","Fixe")</f>
        <v>Fixe</v>
      </c>
      <c r="C26" s="112" t="str">
        <f>IF(B25="F"," ",IF(B25="M"," ","par défaut"))</f>
        <v> </v>
      </c>
      <c r="D26" s="66"/>
      <c r="E26" s="36"/>
    </row>
    <row r="27" spans="1:5" ht="12.75">
      <c r="A27" s="91" t="s">
        <v>40</v>
      </c>
      <c r="B27" s="110">
        <v>45</v>
      </c>
      <c r="C27" s="111" t="s">
        <v>41</v>
      </c>
      <c r="D27" s="102">
        <f>IF(da&gt;30,0,IF(da&lt;10,Kh/100*(8*LOG(da/10)-1.91),Kh/100*(4*LOG(da/30))))</f>
        <v>0</v>
      </c>
      <c r="E27" s="36" t="s">
        <v>0</v>
      </c>
    </row>
    <row r="28" spans="1:5" ht="12.75">
      <c r="A28" s="91" t="s">
        <v>42</v>
      </c>
      <c r="B28" s="68">
        <v>2</v>
      </c>
      <c r="C28" s="112" t="s">
        <v>43</v>
      </c>
      <c r="D28" s="113"/>
      <c r="E28" s="36"/>
    </row>
    <row r="29" spans="1:5" ht="12.75">
      <c r="A29" s="91" t="s">
        <v>44</v>
      </c>
      <c r="B29" s="68">
        <v>1</v>
      </c>
      <c r="C29" s="112" t="s">
        <v>0</v>
      </c>
      <c r="D29" s="113"/>
      <c r="E29" s="36"/>
    </row>
    <row r="30" spans="1:5" ht="12.75">
      <c r="A30" s="103" t="s">
        <v>45</v>
      </c>
      <c r="B30" s="104">
        <f>B20+20*LOG(Fr)+77.21-B28+B29</f>
        <v>-5.763619914796934</v>
      </c>
      <c r="C30" s="114" t="s">
        <v>46</v>
      </c>
      <c r="D30" s="105"/>
      <c r="E30" s="96"/>
    </row>
    <row r="31" spans="1:4" ht="3" customHeight="1">
      <c r="A31" s="5"/>
      <c r="B31" s="4"/>
      <c r="C31" s="115"/>
      <c r="D31" s="1"/>
    </row>
    <row r="32" spans="1:5" ht="15" customHeight="1">
      <c r="A32" s="116"/>
      <c r="B32" s="117" t="s">
        <v>47</v>
      </c>
      <c r="C32" s="118"/>
      <c r="D32" s="119"/>
      <c r="E32" s="100"/>
    </row>
    <row r="33" spans="1:5" ht="3.75" customHeight="1">
      <c r="A33" s="91"/>
      <c r="B33" s="66"/>
      <c r="C33" s="111"/>
      <c r="D33" s="66"/>
      <c r="E33" s="36"/>
    </row>
    <row r="34" spans="1:5" ht="12.75">
      <c r="A34" s="91" t="s">
        <v>60</v>
      </c>
      <c r="B34" s="110" t="s">
        <v>48</v>
      </c>
      <c r="C34" s="112" t="s">
        <v>49</v>
      </c>
      <c r="D34" s="66"/>
      <c r="E34" s="36"/>
    </row>
    <row r="35" spans="1:5" ht="12.75">
      <c r="A35" s="91" t="s">
        <v>50</v>
      </c>
      <c r="B35" s="173" t="str">
        <f>IF(B34="O","Oui","Non")</f>
        <v>Non</v>
      </c>
      <c r="C35" s="112" t="str">
        <f>IF(B34="O"," ",IF(B34="N"," ","par défaut"))</f>
        <v> </v>
      </c>
      <c r="D35" s="66"/>
      <c r="E35" s="36"/>
    </row>
    <row r="36" spans="1:5" ht="12.75">
      <c r="A36" s="65"/>
      <c r="B36" s="111" t="str">
        <f>IF(B34="O","Mesure à hauteur constante (&lt; 2m)","Mesure par recherche du maximum")</f>
        <v>Mesure par recherche du maximum</v>
      </c>
      <c r="C36" s="112" t="s">
        <v>51</v>
      </c>
      <c r="D36" s="102">
        <f>IF(B34="O",3*Kh/100+6*Kv/100,0)</f>
        <v>0</v>
      </c>
      <c r="E36" s="36" t="s">
        <v>0</v>
      </c>
    </row>
    <row r="37" spans="1:5" ht="12.75">
      <c r="A37" s="91" t="s">
        <v>52</v>
      </c>
      <c r="B37" s="110">
        <v>3</v>
      </c>
      <c r="C37" s="112" t="s">
        <v>53</v>
      </c>
      <c r="D37" s="102">
        <f>IF(dn&gt;30,0,IF(dn&lt;10,Kh/100*(8*LOG(dn/10)-1.91),Kh/100*(4*LOG(dn/30))))</f>
        <v>-6.093029962242701</v>
      </c>
      <c r="E37" s="36" t="s">
        <v>0</v>
      </c>
    </row>
    <row r="38" spans="1:5" ht="12.75">
      <c r="A38" s="103" t="s">
        <v>54</v>
      </c>
      <c r="B38" s="104">
        <f>Em+20*LOG(da/dn)+Cha-Cda-Chn+Cdn</f>
        <v>11.665175304073992</v>
      </c>
      <c r="C38" s="114" t="s">
        <v>46</v>
      </c>
      <c r="D38" s="105"/>
      <c r="E38" s="96"/>
    </row>
    <row r="39" ht="3.75" customHeight="1"/>
    <row r="40" spans="1:5" ht="15.75" customHeight="1">
      <c r="A40" s="116"/>
      <c r="B40" s="117" t="s">
        <v>55</v>
      </c>
      <c r="C40" s="108"/>
      <c r="D40" s="108"/>
      <c r="E40" s="100"/>
    </row>
    <row r="41" spans="1:5" ht="3" customHeight="1">
      <c r="A41" s="65"/>
      <c r="B41" s="66"/>
      <c r="C41" s="66"/>
      <c r="D41" s="66"/>
      <c r="E41" s="36"/>
    </row>
    <row r="42" spans="1:5" ht="12.75">
      <c r="A42" s="91" t="s">
        <v>79</v>
      </c>
      <c r="B42" s="102">
        <f>IF(Fr&lt;30,9,120)</f>
        <v>9</v>
      </c>
      <c r="C42" s="66" t="s">
        <v>15</v>
      </c>
      <c r="D42" s="66"/>
      <c r="E42" s="36"/>
    </row>
    <row r="43" spans="1:5" ht="12.75">
      <c r="A43" s="120" t="s">
        <v>120</v>
      </c>
      <c r="B43" s="121">
        <f>IF(B14=0,"inconnu",B44+B21)</f>
        <v>25.381588079489738</v>
      </c>
      <c r="C43" s="122" t="s">
        <v>46</v>
      </c>
      <c r="D43" s="66"/>
      <c r="E43" s="36"/>
    </row>
    <row r="44" spans="1:5" ht="12.75">
      <c r="A44" s="120" t="s">
        <v>119</v>
      </c>
      <c r="B44" s="121">
        <f>B38+10*LOG(B42/B12)</f>
        <v>17.985407451128047</v>
      </c>
      <c r="C44" s="122" t="s">
        <v>46</v>
      </c>
      <c r="D44" s="66"/>
      <c r="E44" s="36"/>
    </row>
    <row r="45" spans="1:5" ht="12.75">
      <c r="A45" s="120" t="s">
        <v>116</v>
      </c>
      <c r="B45" s="121">
        <f>IF(Fr&lt;30,40-8.8*LOG(Fr),40)</f>
        <v>29.914073286031503</v>
      </c>
      <c r="C45" s="122" t="s">
        <v>46</v>
      </c>
      <c r="D45" s="66"/>
      <c r="E45" s="36"/>
    </row>
    <row r="46" spans="1:5" ht="12.75">
      <c r="A46" s="120" t="s">
        <v>115</v>
      </c>
      <c r="B46" s="121">
        <f>B45-10</f>
        <v>19.914073286031503</v>
      </c>
      <c r="C46" s="122" t="s">
        <v>46</v>
      </c>
      <c r="D46" s="66"/>
      <c r="E46" s="36"/>
    </row>
    <row r="47" spans="1:5" ht="12.75">
      <c r="A47" s="169" t="s">
        <v>118</v>
      </c>
      <c r="B47" s="170">
        <f>IF(B14=0,"inconnu",B43-B45)</f>
        <v>-4.5324852065417645</v>
      </c>
      <c r="C47" s="166" t="s">
        <v>0</v>
      </c>
      <c r="D47" s="167"/>
      <c r="E47" s="168"/>
    </row>
    <row r="48" spans="1:5" ht="12.75">
      <c r="A48" s="162" t="s">
        <v>117</v>
      </c>
      <c r="B48" s="171">
        <f>B44-B46</f>
        <v>-1.9286658349034553</v>
      </c>
      <c r="C48" s="163" t="s">
        <v>0</v>
      </c>
      <c r="D48" s="164"/>
      <c r="E48" s="165"/>
    </row>
  </sheetData>
  <sheetProtection password="C8B3" sheet="1" objects="1" scenarios="1"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8"/>
  <sheetViews>
    <sheetView showGridLines="0" workbookViewId="0" topLeftCell="A2">
      <selection activeCell="I2" sqref="I2"/>
    </sheetView>
  </sheetViews>
  <sheetFormatPr defaultColWidth="11.421875" defaultRowHeight="12.75"/>
  <cols>
    <col min="1" max="1" width="10.28125" style="0" customWidth="1"/>
    <col min="2" max="2" width="8.421875" style="0" customWidth="1"/>
    <col min="3" max="3" width="10.8515625" style="0" customWidth="1"/>
    <col min="4" max="4" width="10.28125" style="0" customWidth="1"/>
    <col min="5" max="5" width="3.7109375" style="0" customWidth="1"/>
    <col min="6" max="6" width="10.57421875" style="0" customWidth="1"/>
    <col min="7" max="7" width="3.8515625" style="0" customWidth="1"/>
    <col min="8" max="8" width="6.140625" style="0" customWidth="1"/>
    <col min="9" max="9" width="4.421875" style="0" customWidth="1"/>
  </cols>
  <sheetData>
    <row r="2" ht="15">
      <c r="C2" s="84" t="s">
        <v>24</v>
      </c>
    </row>
    <row r="3" spans="1:3" ht="15">
      <c r="A3" s="2"/>
      <c r="C3" s="84" t="s">
        <v>25</v>
      </c>
    </row>
    <row r="4" ht="7.5" customHeight="1"/>
    <row r="5" spans="3:5" ht="12.75">
      <c r="C5" s="3" t="s">
        <v>22</v>
      </c>
      <c r="D5" s="64">
        <v>-8</v>
      </c>
      <c r="E5" t="s">
        <v>23</v>
      </c>
    </row>
    <row r="6" spans="2:5" ht="12.75">
      <c r="B6" s="1"/>
      <c r="C6" s="5" t="s">
        <v>1</v>
      </c>
      <c r="D6" s="4">
        <f>IF(D5&gt;-6,-6,IF(D5&lt;-12,-12,D5))</f>
        <v>-8</v>
      </c>
      <c r="E6" s="1" t="str">
        <f>IF(D6=D5,"dB","dB par défaut")</f>
        <v>dB</v>
      </c>
    </row>
    <row r="7" ht="6" customHeight="1"/>
    <row r="8" spans="1:11" ht="12.75">
      <c r="A8" s="7" t="s">
        <v>2</v>
      </c>
      <c r="B8" s="8" t="s">
        <v>3</v>
      </c>
      <c r="C8" s="30" t="s">
        <v>4</v>
      </c>
      <c r="D8" s="31" t="s">
        <v>14</v>
      </c>
      <c r="E8" s="9"/>
      <c r="F8" s="33" t="s">
        <v>13</v>
      </c>
      <c r="G8" s="34"/>
      <c r="H8" s="56" t="s">
        <v>20</v>
      </c>
      <c r="I8" s="9"/>
      <c r="J8" s="6"/>
      <c r="K8" s="6"/>
    </row>
    <row r="9" spans="1:11" ht="12.75">
      <c r="A9" s="10" t="s">
        <v>5</v>
      </c>
      <c r="B9" s="11" t="s">
        <v>6</v>
      </c>
      <c r="C9" s="26" t="s">
        <v>7</v>
      </c>
      <c r="D9" s="32" t="s">
        <v>8</v>
      </c>
      <c r="E9" s="12"/>
      <c r="F9" s="43" t="s">
        <v>19</v>
      </c>
      <c r="G9" s="12"/>
      <c r="H9" s="57" t="s">
        <v>21</v>
      </c>
      <c r="I9" s="12"/>
      <c r="J9" s="6"/>
      <c r="K9" s="6"/>
    </row>
    <row r="10" spans="1:9" ht="12.75">
      <c r="A10" s="13">
        <v>200</v>
      </c>
      <c r="B10" s="41">
        <v>-11.5</v>
      </c>
      <c r="C10" s="27">
        <f>IF(B10=""," ",B10-Mx)</f>
        <v>-11.2</v>
      </c>
      <c r="D10" s="28">
        <f>IF(C10=" "," ",100*(10^(C10/10)))</f>
        <v>7.585775750291838</v>
      </c>
      <c r="E10" s="29">
        <f>IF(D10=" ",0,1)</f>
        <v>1</v>
      </c>
      <c r="F10" s="28" t="str">
        <f>IF(C10=" "," ",IF((C10-Se+0.05)&lt;0," ",D10))</f>
        <v> </v>
      </c>
      <c r="G10" s="29">
        <f>IF(F10=" ",0,1)</f>
        <v>0</v>
      </c>
      <c r="H10" s="54"/>
      <c r="I10" s="58"/>
    </row>
    <row r="11" spans="1:9" ht="12.75">
      <c r="A11" s="13">
        <f>A10+100</f>
        <v>300</v>
      </c>
      <c r="B11" s="41">
        <v>-8.5</v>
      </c>
      <c r="C11" s="27">
        <f aca="true" t="shared" si="0" ref="C11:C42">IF(B11=""," ",B11-Mx)</f>
        <v>-8.2</v>
      </c>
      <c r="D11" s="28">
        <f aca="true" t="shared" si="1" ref="D11:D42">IF(C11=" "," ",100*(10^(C11/10)))</f>
        <v>15.13561248436208</v>
      </c>
      <c r="E11" s="29">
        <f aca="true" t="shared" si="2" ref="E11:E42">IF(D11=" ",0,1)</f>
        <v>1</v>
      </c>
      <c r="F11" s="28" t="str">
        <f aca="true" t="shared" si="3" ref="F11:F40">IF(C11=" "," ",IF((C11-Se+0.05)&lt;0," ",D11))</f>
        <v> </v>
      </c>
      <c r="G11" s="29">
        <f aca="true" t="shared" si="4" ref="G11:G42">IF(F11=" ",0,1)</f>
        <v>0</v>
      </c>
      <c r="H11" s="54"/>
      <c r="I11" s="58"/>
    </row>
    <row r="12" spans="1:9" ht="12.75">
      <c r="A12" s="13">
        <f aca="true" t="shared" si="5" ref="A12:A40">A11+100</f>
        <v>400</v>
      </c>
      <c r="B12" s="41">
        <v>-6.3</v>
      </c>
      <c r="C12" s="27">
        <f t="shared" si="0"/>
        <v>-6</v>
      </c>
      <c r="D12" s="28">
        <f t="shared" si="1"/>
        <v>25.118864315095802</v>
      </c>
      <c r="E12" s="29">
        <f t="shared" si="2"/>
        <v>1</v>
      </c>
      <c r="F12" s="28">
        <f t="shared" si="3"/>
        <v>25.118864315095802</v>
      </c>
      <c r="G12" s="29">
        <f t="shared" si="4"/>
        <v>1</v>
      </c>
      <c r="H12" s="54"/>
      <c r="I12" s="58"/>
    </row>
    <row r="13" spans="1:9" ht="12.75">
      <c r="A13" s="13">
        <f t="shared" si="5"/>
        <v>500</v>
      </c>
      <c r="B13" s="41">
        <v>-3.5</v>
      </c>
      <c r="C13" s="27">
        <f t="shared" si="0"/>
        <v>-3.2</v>
      </c>
      <c r="D13" s="28">
        <f t="shared" si="1"/>
        <v>47.863009232263835</v>
      </c>
      <c r="E13" s="29">
        <f t="shared" si="2"/>
        <v>1</v>
      </c>
      <c r="F13" s="28">
        <f t="shared" si="3"/>
        <v>47.863009232263835</v>
      </c>
      <c r="G13" s="29">
        <f t="shared" si="4"/>
        <v>1</v>
      </c>
      <c r="H13" s="54"/>
      <c r="I13" s="58"/>
    </row>
    <row r="14" spans="1:9" ht="12.75">
      <c r="A14" s="13">
        <f t="shared" si="5"/>
        <v>600</v>
      </c>
      <c r="B14" s="41">
        <v>-3.3</v>
      </c>
      <c r="C14" s="27">
        <f t="shared" si="0"/>
        <v>-3</v>
      </c>
      <c r="D14" s="28">
        <f t="shared" si="1"/>
        <v>50.11872336272722</v>
      </c>
      <c r="E14" s="29">
        <f t="shared" si="2"/>
        <v>1</v>
      </c>
      <c r="F14" s="28">
        <f t="shared" si="3"/>
        <v>50.11872336272722</v>
      </c>
      <c r="G14" s="29">
        <f t="shared" si="4"/>
        <v>1</v>
      </c>
      <c r="H14" s="54"/>
      <c r="I14" s="58"/>
    </row>
    <row r="15" spans="1:9" ht="12.75">
      <c r="A15" s="13">
        <f t="shared" si="5"/>
        <v>700</v>
      </c>
      <c r="B15" s="41">
        <v>-3.5</v>
      </c>
      <c r="C15" s="27">
        <f t="shared" si="0"/>
        <v>-3.2</v>
      </c>
      <c r="D15" s="28">
        <f t="shared" si="1"/>
        <v>47.863009232263835</v>
      </c>
      <c r="E15" s="29">
        <f t="shared" si="2"/>
        <v>1</v>
      </c>
      <c r="F15" s="28">
        <f t="shared" si="3"/>
        <v>47.863009232263835</v>
      </c>
      <c r="G15" s="29">
        <f t="shared" si="4"/>
        <v>1</v>
      </c>
      <c r="H15" s="54"/>
      <c r="I15" s="58"/>
    </row>
    <row r="16" spans="1:9" ht="12.75">
      <c r="A16" s="13">
        <f t="shared" si="5"/>
        <v>800</v>
      </c>
      <c r="B16" s="41">
        <v>-3.8</v>
      </c>
      <c r="C16" s="27">
        <f t="shared" si="0"/>
        <v>-3.5</v>
      </c>
      <c r="D16" s="28">
        <f t="shared" si="1"/>
        <v>44.66835921509632</v>
      </c>
      <c r="E16" s="29">
        <f t="shared" si="2"/>
        <v>1</v>
      </c>
      <c r="F16" s="28">
        <f t="shared" si="3"/>
        <v>44.66835921509632</v>
      </c>
      <c r="G16" s="29">
        <f t="shared" si="4"/>
        <v>1</v>
      </c>
      <c r="H16" s="54"/>
      <c r="I16" s="58"/>
    </row>
    <row r="17" spans="1:9" ht="12.75">
      <c r="A17" s="13">
        <f t="shared" si="5"/>
        <v>900</v>
      </c>
      <c r="B17" s="41">
        <v>-3</v>
      </c>
      <c r="C17" s="27">
        <f t="shared" si="0"/>
        <v>-2.7</v>
      </c>
      <c r="D17" s="28">
        <f t="shared" si="1"/>
        <v>53.703179637025265</v>
      </c>
      <c r="E17" s="29">
        <f t="shared" si="2"/>
        <v>1</v>
      </c>
      <c r="F17" s="28">
        <f t="shared" si="3"/>
        <v>53.703179637025265</v>
      </c>
      <c r="G17" s="29">
        <f t="shared" si="4"/>
        <v>1</v>
      </c>
      <c r="H17" s="54"/>
      <c r="I17" s="58"/>
    </row>
    <row r="18" spans="1:9" ht="12.75">
      <c r="A18" s="13">
        <f t="shared" si="5"/>
        <v>1000</v>
      </c>
      <c r="B18" s="41">
        <v>-1.5</v>
      </c>
      <c r="C18" s="27">
        <f t="shared" si="0"/>
        <v>-1.2</v>
      </c>
      <c r="D18" s="28">
        <f t="shared" si="1"/>
        <v>75.85775750291836</v>
      </c>
      <c r="E18" s="29">
        <f t="shared" si="2"/>
        <v>1</v>
      </c>
      <c r="F18" s="28">
        <f t="shared" si="3"/>
        <v>75.85775750291836</v>
      </c>
      <c r="G18" s="29">
        <f t="shared" si="4"/>
        <v>1</v>
      </c>
      <c r="H18" s="54"/>
      <c r="I18" s="58"/>
    </row>
    <row r="19" spans="1:9" ht="12.75">
      <c r="A19" s="13">
        <f t="shared" si="5"/>
        <v>1100</v>
      </c>
      <c r="B19" s="41">
        <v>-0.8</v>
      </c>
      <c r="C19" s="27">
        <f t="shared" si="0"/>
        <v>-0.5</v>
      </c>
      <c r="D19" s="28">
        <f t="shared" si="1"/>
        <v>89.12509381337455</v>
      </c>
      <c r="E19" s="29">
        <f t="shared" si="2"/>
        <v>1</v>
      </c>
      <c r="F19" s="28">
        <f t="shared" si="3"/>
        <v>89.12509381337455</v>
      </c>
      <c r="G19" s="29">
        <f t="shared" si="4"/>
        <v>1</v>
      </c>
      <c r="H19" s="54"/>
      <c r="I19" s="58"/>
    </row>
    <row r="20" spans="1:9" ht="12.75">
      <c r="A20" s="7">
        <f t="shared" si="5"/>
        <v>1200</v>
      </c>
      <c r="B20" s="46">
        <v>-0.3</v>
      </c>
      <c r="C20" s="44">
        <f t="shared" si="0"/>
        <v>0</v>
      </c>
      <c r="D20" s="47">
        <f t="shared" si="1"/>
        <v>100</v>
      </c>
      <c r="E20" s="48">
        <f t="shared" si="2"/>
        <v>1</v>
      </c>
      <c r="F20" s="49">
        <f t="shared" si="3"/>
        <v>100</v>
      </c>
      <c r="G20" s="48">
        <f t="shared" si="4"/>
        <v>1</v>
      </c>
      <c r="H20" s="62">
        <f>IF(C20=" "," ",-Cr-C20)</f>
        <v>-2.2537057821527124</v>
      </c>
      <c r="I20" s="59" t="s">
        <v>0</v>
      </c>
    </row>
    <row r="21" spans="1:9" ht="12.75">
      <c r="A21" s="13">
        <f t="shared" si="5"/>
        <v>1300</v>
      </c>
      <c r="B21" s="41">
        <v>-0.5</v>
      </c>
      <c r="C21" s="16">
        <f t="shared" si="0"/>
        <v>-0.2</v>
      </c>
      <c r="D21" s="17">
        <f t="shared" si="1"/>
        <v>95.49925860214358</v>
      </c>
      <c r="E21" s="40">
        <f t="shared" si="2"/>
        <v>1</v>
      </c>
      <c r="F21" s="28">
        <f t="shared" si="3"/>
        <v>95.49925860214358</v>
      </c>
      <c r="G21" s="40">
        <f t="shared" si="4"/>
        <v>1</v>
      </c>
      <c r="H21" s="63">
        <f aca="true" t="shared" si="6" ref="H21:H27">IF(C21=" "," ",-Cr-C21)</f>
        <v>-2.0537057821527123</v>
      </c>
      <c r="I21" s="55" t="s">
        <v>0</v>
      </c>
    </row>
    <row r="22" spans="1:9" ht="12.75">
      <c r="A22" s="13">
        <f t="shared" si="5"/>
        <v>1400</v>
      </c>
      <c r="B22" s="41">
        <v>-1.5</v>
      </c>
      <c r="C22" s="16">
        <f t="shared" si="0"/>
        <v>-1.2</v>
      </c>
      <c r="D22" s="17">
        <f t="shared" si="1"/>
        <v>75.85775750291836</v>
      </c>
      <c r="E22" s="40">
        <f t="shared" si="2"/>
        <v>1</v>
      </c>
      <c r="F22" s="28">
        <f t="shared" si="3"/>
        <v>75.85775750291836</v>
      </c>
      <c r="G22" s="40">
        <f t="shared" si="4"/>
        <v>1</v>
      </c>
      <c r="H22" s="63">
        <f t="shared" si="6"/>
        <v>-1.0537057821527125</v>
      </c>
      <c r="I22" s="55" t="s">
        <v>0</v>
      </c>
    </row>
    <row r="23" spans="1:9" ht="12.75">
      <c r="A23" s="13">
        <f t="shared" si="5"/>
        <v>1500</v>
      </c>
      <c r="B23" s="41">
        <v>-1.8</v>
      </c>
      <c r="C23" s="16">
        <f t="shared" si="0"/>
        <v>-1.5</v>
      </c>
      <c r="D23" s="17">
        <f t="shared" si="1"/>
        <v>70.7945784384138</v>
      </c>
      <c r="E23" s="40">
        <f t="shared" si="2"/>
        <v>1</v>
      </c>
      <c r="F23" s="28">
        <f t="shared" si="3"/>
        <v>70.7945784384138</v>
      </c>
      <c r="G23" s="40">
        <f t="shared" si="4"/>
        <v>1</v>
      </c>
      <c r="H23" s="63">
        <f t="shared" si="6"/>
        <v>-0.7537057821527124</v>
      </c>
      <c r="I23" s="55" t="s">
        <v>0</v>
      </c>
    </row>
    <row r="24" spans="1:9" ht="12.75">
      <c r="A24" s="13">
        <f t="shared" si="5"/>
        <v>1600</v>
      </c>
      <c r="B24" s="41">
        <v>-1.5</v>
      </c>
      <c r="C24" s="16">
        <f t="shared" si="0"/>
        <v>-1.2</v>
      </c>
      <c r="D24" s="17">
        <f t="shared" si="1"/>
        <v>75.85775750291836</v>
      </c>
      <c r="E24" s="40">
        <f t="shared" si="2"/>
        <v>1</v>
      </c>
      <c r="F24" s="28">
        <f t="shared" si="3"/>
        <v>75.85775750291836</v>
      </c>
      <c r="G24" s="40">
        <f t="shared" si="4"/>
        <v>1</v>
      </c>
      <c r="H24" s="63">
        <f t="shared" si="6"/>
        <v>-1.0537057821527125</v>
      </c>
      <c r="I24" s="55" t="s">
        <v>0</v>
      </c>
    </row>
    <row r="25" spans="1:9" ht="12.75">
      <c r="A25" s="13">
        <f t="shared" si="5"/>
        <v>1700</v>
      </c>
      <c r="B25" s="41">
        <v>-1.3</v>
      </c>
      <c r="C25" s="16">
        <f t="shared" si="0"/>
        <v>-1</v>
      </c>
      <c r="D25" s="17">
        <f t="shared" si="1"/>
        <v>79.43282347242815</v>
      </c>
      <c r="E25" s="40">
        <f t="shared" si="2"/>
        <v>1</v>
      </c>
      <c r="F25" s="28">
        <f t="shared" si="3"/>
        <v>79.43282347242815</v>
      </c>
      <c r="G25" s="40">
        <f t="shared" si="4"/>
        <v>1</v>
      </c>
      <c r="H25" s="63">
        <f t="shared" si="6"/>
        <v>-1.2537057821527124</v>
      </c>
      <c r="I25" s="55" t="s">
        <v>0</v>
      </c>
    </row>
    <row r="26" spans="1:9" ht="12.75">
      <c r="A26" s="13">
        <f t="shared" si="5"/>
        <v>1800</v>
      </c>
      <c r="B26" s="41">
        <v>-1.3</v>
      </c>
      <c r="C26" s="16">
        <f t="shared" si="0"/>
        <v>-1</v>
      </c>
      <c r="D26" s="17">
        <f t="shared" si="1"/>
        <v>79.43282347242815</v>
      </c>
      <c r="E26" s="40">
        <f t="shared" si="2"/>
        <v>1</v>
      </c>
      <c r="F26" s="28">
        <f t="shared" si="3"/>
        <v>79.43282347242815</v>
      </c>
      <c r="G26" s="40">
        <f t="shared" si="4"/>
        <v>1</v>
      </c>
      <c r="H26" s="63">
        <f t="shared" si="6"/>
        <v>-1.2537057821527124</v>
      </c>
      <c r="I26" s="55" t="s">
        <v>0</v>
      </c>
    </row>
    <row r="27" spans="1:9" ht="12.75">
      <c r="A27" s="10">
        <f t="shared" si="5"/>
        <v>1900</v>
      </c>
      <c r="B27" s="50">
        <v>-2</v>
      </c>
      <c r="C27" s="45">
        <f t="shared" si="0"/>
        <v>-1.7</v>
      </c>
      <c r="D27" s="51">
        <f t="shared" si="1"/>
        <v>67.60829753919818</v>
      </c>
      <c r="E27" s="52">
        <f t="shared" si="2"/>
        <v>1</v>
      </c>
      <c r="F27" s="53">
        <f t="shared" si="3"/>
        <v>67.60829753919818</v>
      </c>
      <c r="G27" s="52">
        <f t="shared" si="4"/>
        <v>1</v>
      </c>
      <c r="H27" s="39">
        <f t="shared" si="6"/>
        <v>-0.5537057821527125</v>
      </c>
      <c r="I27" s="60" t="s">
        <v>0</v>
      </c>
    </row>
    <row r="28" spans="1:9" ht="12.75">
      <c r="A28" s="13">
        <f t="shared" si="5"/>
        <v>2000</v>
      </c>
      <c r="B28" s="41">
        <v>-3.3</v>
      </c>
      <c r="C28" s="27">
        <f t="shared" si="0"/>
        <v>-3</v>
      </c>
      <c r="D28" s="28">
        <f t="shared" si="1"/>
        <v>50.11872336272722</v>
      </c>
      <c r="E28" s="29">
        <f t="shared" si="2"/>
        <v>1</v>
      </c>
      <c r="F28" s="28">
        <f t="shared" si="3"/>
        <v>50.11872336272722</v>
      </c>
      <c r="G28" s="29">
        <f t="shared" si="4"/>
        <v>1</v>
      </c>
      <c r="H28" s="54"/>
      <c r="I28" s="58"/>
    </row>
    <row r="29" spans="1:9" ht="12.75">
      <c r="A29" s="13">
        <f t="shared" si="5"/>
        <v>2100</v>
      </c>
      <c r="B29" s="41">
        <v>-4</v>
      </c>
      <c r="C29" s="27">
        <f t="shared" si="0"/>
        <v>-3.7</v>
      </c>
      <c r="D29" s="28">
        <f t="shared" si="1"/>
        <v>42.65795188015927</v>
      </c>
      <c r="E29" s="29">
        <f t="shared" si="2"/>
        <v>1</v>
      </c>
      <c r="F29" s="28">
        <f t="shared" si="3"/>
        <v>42.65795188015927</v>
      </c>
      <c r="G29" s="29">
        <f t="shared" si="4"/>
        <v>1</v>
      </c>
      <c r="H29" s="54"/>
      <c r="I29" s="58"/>
    </row>
    <row r="30" spans="1:9" ht="12.75">
      <c r="A30" s="13">
        <f t="shared" si="5"/>
        <v>2200</v>
      </c>
      <c r="B30" s="41">
        <v>-4.8</v>
      </c>
      <c r="C30" s="27">
        <f t="shared" si="0"/>
        <v>-4.5</v>
      </c>
      <c r="D30" s="28">
        <f t="shared" si="1"/>
        <v>35.48133892335754</v>
      </c>
      <c r="E30" s="29">
        <f t="shared" si="2"/>
        <v>1</v>
      </c>
      <c r="F30" s="28">
        <f t="shared" si="3"/>
        <v>35.48133892335754</v>
      </c>
      <c r="G30" s="29">
        <f t="shared" si="4"/>
        <v>1</v>
      </c>
      <c r="H30" s="54"/>
      <c r="I30" s="58"/>
    </row>
    <row r="31" spans="1:9" ht="12.75">
      <c r="A31" s="13">
        <f t="shared" si="5"/>
        <v>2300</v>
      </c>
      <c r="B31" s="41">
        <v>-6</v>
      </c>
      <c r="C31" s="27">
        <f t="shared" si="0"/>
        <v>-5.7</v>
      </c>
      <c r="D31" s="28">
        <f t="shared" si="1"/>
        <v>26.915348039269148</v>
      </c>
      <c r="E31" s="29">
        <f t="shared" si="2"/>
        <v>1</v>
      </c>
      <c r="F31" s="28">
        <f t="shared" si="3"/>
        <v>26.915348039269148</v>
      </c>
      <c r="G31" s="29">
        <f t="shared" si="4"/>
        <v>1</v>
      </c>
      <c r="H31" s="54"/>
      <c r="I31" s="58"/>
    </row>
    <row r="32" spans="1:9" ht="12.75">
      <c r="A32" s="13">
        <f t="shared" si="5"/>
        <v>2400</v>
      </c>
      <c r="B32" s="41">
        <v>-8.3</v>
      </c>
      <c r="C32" s="27">
        <f t="shared" si="0"/>
        <v>-8</v>
      </c>
      <c r="D32" s="28">
        <f t="shared" si="1"/>
        <v>15.848931924611131</v>
      </c>
      <c r="E32" s="29">
        <f t="shared" si="2"/>
        <v>1</v>
      </c>
      <c r="F32" s="28">
        <f t="shared" si="3"/>
        <v>15.848931924611131</v>
      </c>
      <c r="G32" s="29">
        <f t="shared" si="4"/>
        <v>1</v>
      </c>
      <c r="H32" s="54"/>
      <c r="I32" s="58"/>
    </row>
    <row r="33" spans="1:9" ht="12.75">
      <c r="A33" s="13">
        <f t="shared" si="5"/>
        <v>2500</v>
      </c>
      <c r="B33" s="41">
        <v>-13.3</v>
      </c>
      <c r="C33" s="27">
        <f t="shared" si="0"/>
        <v>-13</v>
      </c>
      <c r="D33" s="28">
        <f t="shared" si="1"/>
        <v>5.01187233627272</v>
      </c>
      <c r="E33" s="29">
        <f t="shared" si="2"/>
        <v>1</v>
      </c>
      <c r="F33" s="28" t="str">
        <f t="shared" si="3"/>
        <v> </v>
      </c>
      <c r="G33" s="29">
        <f t="shared" si="4"/>
        <v>0</v>
      </c>
      <c r="H33" s="54"/>
      <c r="I33" s="58"/>
    </row>
    <row r="34" spans="1:9" ht="12.75">
      <c r="A34" s="13">
        <f t="shared" si="5"/>
        <v>2600</v>
      </c>
      <c r="B34" s="41">
        <v>-21.8</v>
      </c>
      <c r="C34" s="27">
        <f t="shared" si="0"/>
        <v>-21.5</v>
      </c>
      <c r="D34" s="28">
        <f t="shared" si="1"/>
        <v>0.7079457843841379</v>
      </c>
      <c r="E34" s="29">
        <f t="shared" si="2"/>
        <v>1</v>
      </c>
      <c r="F34" s="28" t="str">
        <f t="shared" si="3"/>
        <v> </v>
      </c>
      <c r="G34" s="29">
        <f t="shared" si="4"/>
        <v>0</v>
      </c>
      <c r="H34" s="54"/>
      <c r="I34" s="58"/>
    </row>
    <row r="35" spans="1:9" ht="12.75">
      <c r="A35" s="13">
        <f t="shared" si="5"/>
        <v>2700</v>
      </c>
      <c r="B35" s="41">
        <v>-28</v>
      </c>
      <c r="C35" s="27">
        <f t="shared" si="0"/>
        <v>-27.7</v>
      </c>
      <c r="D35" s="28">
        <f t="shared" si="1"/>
        <v>0.16982436524617425</v>
      </c>
      <c r="E35" s="29">
        <f t="shared" si="2"/>
        <v>1</v>
      </c>
      <c r="F35" s="28" t="str">
        <f t="shared" si="3"/>
        <v> </v>
      </c>
      <c r="G35" s="29">
        <f t="shared" si="4"/>
        <v>0</v>
      </c>
      <c r="H35" s="54"/>
      <c r="I35" s="58"/>
    </row>
    <row r="36" spans="1:9" ht="12.75">
      <c r="A36" s="13">
        <f t="shared" si="5"/>
        <v>2800</v>
      </c>
      <c r="B36" s="41"/>
      <c r="C36" s="27" t="str">
        <f t="shared" si="0"/>
        <v> </v>
      </c>
      <c r="D36" s="28" t="str">
        <f t="shared" si="1"/>
        <v> </v>
      </c>
      <c r="E36" s="29">
        <f t="shared" si="2"/>
        <v>0</v>
      </c>
      <c r="F36" s="28" t="str">
        <f t="shared" si="3"/>
        <v> </v>
      </c>
      <c r="G36" s="29">
        <f t="shared" si="4"/>
        <v>0</v>
      </c>
      <c r="H36" s="54"/>
      <c r="I36" s="58"/>
    </row>
    <row r="37" spans="1:9" ht="12.75">
      <c r="A37" s="13">
        <f t="shared" si="5"/>
        <v>2900</v>
      </c>
      <c r="B37" s="41"/>
      <c r="C37" s="27" t="str">
        <f t="shared" si="0"/>
        <v> </v>
      </c>
      <c r="D37" s="28" t="str">
        <f t="shared" si="1"/>
        <v> </v>
      </c>
      <c r="E37" s="29">
        <f t="shared" si="2"/>
        <v>0</v>
      </c>
      <c r="F37" s="28" t="str">
        <f t="shared" si="3"/>
        <v> </v>
      </c>
      <c r="G37" s="29">
        <f t="shared" si="4"/>
        <v>0</v>
      </c>
      <c r="H37" s="54"/>
      <c r="I37" s="58"/>
    </row>
    <row r="38" spans="1:9" ht="12.75">
      <c r="A38" s="13">
        <f t="shared" si="5"/>
        <v>3000</v>
      </c>
      <c r="B38" s="41"/>
      <c r="C38" s="27" t="str">
        <f t="shared" si="0"/>
        <v> </v>
      </c>
      <c r="D38" s="28" t="str">
        <f t="shared" si="1"/>
        <v> </v>
      </c>
      <c r="E38" s="29">
        <f t="shared" si="2"/>
        <v>0</v>
      </c>
      <c r="F38" s="28" t="str">
        <f t="shared" si="3"/>
        <v> </v>
      </c>
      <c r="G38" s="29">
        <f t="shared" si="4"/>
        <v>0</v>
      </c>
      <c r="H38" s="54"/>
      <c r="I38" s="58"/>
    </row>
    <row r="39" spans="1:9" ht="12.75">
      <c r="A39" s="13">
        <f t="shared" si="5"/>
        <v>3100</v>
      </c>
      <c r="B39" s="41"/>
      <c r="C39" s="27" t="str">
        <f t="shared" si="0"/>
        <v> </v>
      </c>
      <c r="D39" s="28" t="str">
        <f t="shared" si="1"/>
        <v> </v>
      </c>
      <c r="E39" s="29">
        <f t="shared" si="2"/>
        <v>0</v>
      </c>
      <c r="F39" s="28" t="str">
        <f t="shared" si="3"/>
        <v> </v>
      </c>
      <c r="G39" s="29">
        <f t="shared" si="4"/>
        <v>0</v>
      </c>
      <c r="H39" s="54"/>
      <c r="I39" s="58"/>
    </row>
    <row r="40" spans="1:9" ht="12.75">
      <c r="A40" s="13">
        <f t="shared" si="5"/>
        <v>3200</v>
      </c>
      <c r="B40" s="41"/>
      <c r="C40" s="27" t="str">
        <f t="shared" si="0"/>
        <v> </v>
      </c>
      <c r="D40" s="28" t="str">
        <f t="shared" si="1"/>
        <v> </v>
      </c>
      <c r="E40" s="29">
        <f t="shared" si="2"/>
        <v>0</v>
      </c>
      <c r="F40" s="28" t="str">
        <f t="shared" si="3"/>
        <v> </v>
      </c>
      <c r="G40" s="29">
        <f t="shared" si="4"/>
        <v>0</v>
      </c>
      <c r="H40" s="54"/>
      <c r="I40" s="58"/>
    </row>
    <row r="41" spans="1:9" ht="12.75">
      <c r="A41" s="13">
        <f>A40+100</f>
        <v>3300</v>
      </c>
      <c r="B41" s="41"/>
      <c r="C41" s="27" t="str">
        <f t="shared" si="0"/>
        <v> </v>
      </c>
      <c r="D41" s="28" t="str">
        <f t="shared" si="1"/>
        <v> </v>
      </c>
      <c r="E41" s="29">
        <f t="shared" si="2"/>
        <v>0</v>
      </c>
      <c r="F41" s="28" t="str">
        <f>IF(C41=" "," ",IF((C41-Se+0.05)&lt;0," ",D41))</f>
        <v> </v>
      </c>
      <c r="G41" s="29">
        <f t="shared" si="4"/>
        <v>0</v>
      </c>
      <c r="H41" s="54"/>
      <c r="I41" s="58"/>
    </row>
    <row r="42" spans="1:9" ht="12.75">
      <c r="A42" s="13">
        <f>A41+100</f>
        <v>3400</v>
      </c>
      <c r="B42" s="41"/>
      <c r="C42" s="27" t="str">
        <f t="shared" si="0"/>
        <v> </v>
      </c>
      <c r="D42" s="28" t="str">
        <f t="shared" si="1"/>
        <v> </v>
      </c>
      <c r="E42" s="29">
        <f t="shared" si="2"/>
        <v>0</v>
      </c>
      <c r="F42" s="28" t="str">
        <f>IF(C42=" "," ",IF((C42-Se+0.05)&lt;0," ",D42))</f>
        <v> </v>
      </c>
      <c r="G42" s="29">
        <f t="shared" si="4"/>
        <v>0</v>
      </c>
      <c r="H42" s="54"/>
      <c r="I42" s="58"/>
    </row>
    <row r="43" spans="1:9" ht="7.5" customHeight="1">
      <c r="A43" s="71"/>
      <c r="B43" s="50"/>
      <c r="C43" s="72"/>
      <c r="D43" s="73"/>
      <c r="E43" s="75"/>
      <c r="F43" s="73"/>
      <c r="G43" s="75"/>
      <c r="H43" s="74"/>
      <c r="I43" s="61"/>
    </row>
    <row r="44" spans="1:9" ht="12.75" customHeight="1">
      <c r="A44" s="82" t="s">
        <v>9</v>
      </c>
      <c r="B44" s="83">
        <f>MAX(B11:B40)</f>
        <v>-0.3</v>
      </c>
      <c r="C44" s="76" t="s">
        <v>10</v>
      </c>
      <c r="D44" s="69">
        <f>SUM(D10:D42)</f>
        <v>1278.4346176918953</v>
      </c>
      <c r="E44" s="70"/>
      <c r="F44" s="69">
        <f>SUM(F10:F42)</f>
        <v>1249.8235869713383</v>
      </c>
      <c r="G44" s="70"/>
      <c r="H44" s="67"/>
      <c r="I44" s="67"/>
    </row>
    <row r="45" spans="1:7" ht="13.5" customHeight="1">
      <c r="A45" s="18"/>
      <c r="B45" s="20" t="s">
        <v>17</v>
      </c>
      <c r="C45" s="77">
        <f>Se</f>
        <v>-8</v>
      </c>
      <c r="D45" s="42" t="s">
        <v>18</v>
      </c>
      <c r="E45" s="21"/>
      <c r="F45" s="14">
        <f>10*LOG(Ru/Re)</f>
        <v>-0.09829805517768521</v>
      </c>
      <c r="G45" s="35" t="s">
        <v>0</v>
      </c>
    </row>
    <row r="46" spans="1:7" ht="13.5" customHeight="1">
      <c r="A46" s="18"/>
      <c r="B46" s="19"/>
      <c r="C46" s="78" t="s">
        <v>16</v>
      </c>
      <c r="D46" s="22">
        <f>SUM(E10:E42)</f>
        <v>26</v>
      </c>
      <c r="E46" s="23"/>
      <c r="F46" s="22">
        <f>SUM(G10:G42)</f>
        <v>21</v>
      </c>
      <c r="G46" s="36"/>
    </row>
    <row r="47" spans="1:7" ht="12.75">
      <c r="A47" s="18"/>
      <c r="B47" s="19"/>
      <c r="C47" s="78" t="s">
        <v>11</v>
      </c>
      <c r="D47" s="15">
        <f>D46*0.1</f>
        <v>2.6</v>
      </c>
      <c r="E47" s="37" t="s">
        <v>15</v>
      </c>
      <c r="F47" s="38">
        <f>F46*0.1</f>
        <v>2.1</v>
      </c>
      <c r="G47" s="37" t="s">
        <v>15</v>
      </c>
    </row>
    <row r="48" spans="1:7" ht="12.75">
      <c r="A48" s="79"/>
      <c r="B48" s="80"/>
      <c r="C48" s="81" t="s">
        <v>12</v>
      </c>
      <c r="D48" s="24">
        <f>10*LOG((D46*100)/Re)</f>
        <v>3.0829482593440143</v>
      </c>
      <c r="E48" s="25" t="s">
        <v>0</v>
      </c>
      <c r="F48" s="39">
        <f>10*LOG((F46*100)/Ru)</f>
        <v>2.2537057821527124</v>
      </c>
      <c r="G48" s="25" t="s">
        <v>0</v>
      </c>
    </row>
  </sheetData>
  <sheetProtection password="C8B3" sheet="1" objects="1" scenarios="1"/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3"/>
  <sheetViews>
    <sheetView showGridLines="0" workbookViewId="0" topLeftCell="A1">
      <selection activeCell="L2" sqref="L2"/>
    </sheetView>
  </sheetViews>
  <sheetFormatPr defaultColWidth="11.421875" defaultRowHeight="12.75"/>
  <cols>
    <col min="1" max="1" width="11.8515625" style="0" customWidth="1"/>
    <col min="2" max="3" width="10.140625" style="0" customWidth="1"/>
    <col min="4" max="4" width="10.28125" style="0" customWidth="1"/>
    <col min="5" max="5" width="11.00390625" style="0" customWidth="1"/>
    <col min="8" max="8" width="10.28125" style="0" customWidth="1"/>
    <col min="10" max="10" width="10.140625" style="0" customWidth="1"/>
    <col min="11" max="11" width="9.28125" style="0" customWidth="1"/>
    <col min="12" max="12" width="1.28515625" style="0" customWidth="1"/>
    <col min="13" max="13" width="9.140625" style="0" customWidth="1"/>
    <col min="14" max="14" width="8.421875" style="0" customWidth="1"/>
    <col min="15" max="15" width="8.28125" style="0" customWidth="1"/>
  </cols>
  <sheetData>
    <row r="2" ht="15.75">
      <c r="C2" s="124" t="s">
        <v>58</v>
      </c>
    </row>
    <row r="4" spans="3:6" ht="12.75">
      <c r="C4" s="5"/>
      <c r="D4" s="3" t="s">
        <v>68</v>
      </c>
      <c r="E4" s="180">
        <v>1400</v>
      </c>
      <c r="F4" t="s">
        <v>81</v>
      </c>
    </row>
    <row r="5" spans="3:6" ht="12.75" customHeight="1">
      <c r="C5" s="5"/>
      <c r="D5" s="128" t="s">
        <v>69</v>
      </c>
      <c r="E5" s="129">
        <f>IF(E4&lt;1150,1200,IF(E4&gt;1949.9,1900,100*INT((E4+50)/100)))</f>
        <v>1400</v>
      </c>
      <c r="F5" s="1" t="str">
        <f>IF(E4&lt;1150,"Hz (Par défaut)",IF(E4&gt;1949.9,"Hz (par défaut)","Hz"))</f>
        <v>Hz</v>
      </c>
    </row>
    <row r="6" spans="2:8" ht="12.75" customHeight="1">
      <c r="B6" s="130" t="s">
        <v>70</v>
      </c>
      <c r="C6" s="134">
        <f>IF(E5=1200,'Etalonnage BF'!H20,(IF(E5=1300,'Etalonnage BF'!H21,IF(E5=1400,'Etalonnage BF'!H22,IF(E5=1500,'Etalonnage BF'!H23,IF(E5=1600,'Etalonnage BF'!H24,IF(E5=1700,'Etalonnage BF'!H25,IF(E5=1800,'Etalonnage BF'!H26,'Etalonnage BF'!H27))))))))</f>
        <v>-1.0537057821527125</v>
      </c>
      <c r="D6" s="131" t="s">
        <v>71</v>
      </c>
      <c r="E6" s="127"/>
      <c r="F6" s="130" t="s">
        <v>32</v>
      </c>
      <c r="G6" s="133">
        <f>'Etalonnage BF'!F47*1000</f>
        <v>2100</v>
      </c>
      <c r="H6" s="132" t="s">
        <v>72</v>
      </c>
    </row>
    <row r="7" spans="2:8" ht="4.5" customHeight="1">
      <c r="B7" s="3"/>
      <c r="C7" s="134"/>
      <c r="D7" s="131"/>
      <c r="E7" s="127"/>
      <c r="F7" s="130"/>
      <c r="G7" s="133"/>
      <c r="H7" s="132"/>
    </row>
    <row r="8" spans="1:5" ht="14.25" customHeight="1">
      <c r="A8" s="2" t="s">
        <v>59</v>
      </c>
      <c r="E8" s="174" t="s">
        <v>124</v>
      </c>
    </row>
    <row r="9" ht="3.75" customHeight="1">
      <c r="A9" s="2"/>
    </row>
    <row r="10" spans="1:8" ht="12.75" customHeight="1">
      <c r="A10" s="1" t="s">
        <v>73</v>
      </c>
      <c r="C10" t="s">
        <v>74</v>
      </c>
      <c r="D10" s="183">
        <v>16</v>
      </c>
      <c r="E10" s="126" t="s">
        <v>75</v>
      </c>
      <c r="F10" s="134">
        <f>D10+Corr</f>
        <v>14.946294217847287</v>
      </c>
      <c r="G10" t="s">
        <v>76</v>
      </c>
      <c r="H10" s="134">
        <f>10*LOG(10^(F10/10)-1)</f>
        <v>14.804974846208976</v>
      </c>
    </row>
    <row r="11" spans="1:8" ht="6" customHeight="1">
      <c r="A11" s="1"/>
      <c r="D11" s="138"/>
      <c r="E11" s="126"/>
      <c r="F11" s="135"/>
      <c r="H11" s="4"/>
    </row>
    <row r="12" spans="1:8" ht="12.75" customHeight="1">
      <c r="A12" s="30" t="s">
        <v>61</v>
      </c>
      <c r="B12" s="30" t="s">
        <v>3</v>
      </c>
      <c r="C12" s="30" t="s">
        <v>62</v>
      </c>
      <c r="D12" s="30" t="s">
        <v>63</v>
      </c>
      <c r="E12" s="30" t="s">
        <v>61</v>
      </c>
      <c r="F12" s="30" t="s">
        <v>3</v>
      </c>
      <c r="G12" s="30" t="s">
        <v>62</v>
      </c>
      <c r="H12" s="30" t="s">
        <v>63</v>
      </c>
    </row>
    <row r="13" spans="1:8" ht="12.75">
      <c r="A13" s="26" t="s">
        <v>64</v>
      </c>
      <c r="B13" s="137" t="s">
        <v>65</v>
      </c>
      <c r="C13" s="26" t="s">
        <v>66</v>
      </c>
      <c r="D13" s="26" t="s">
        <v>67</v>
      </c>
      <c r="E13" s="26" t="s">
        <v>64</v>
      </c>
      <c r="F13" s="137" t="s">
        <v>65</v>
      </c>
      <c r="G13" s="26" t="s">
        <v>66</v>
      </c>
      <c r="H13" s="26" t="s">
        <v>67</v>
      </c>
    </row>
    <row r="14" spans="1:12" ht="12.75">
      <c r="A14" s="181">
        <v>3.7</v>
      </c>
      <c r="B14" s="41">
        <v>-115</v>
      </c>
      <c r="C14" s="27">
        <f>B14-Sbr</f>
        <v>-129.80497484620898</v>
      </c>
      <c r="D14" s="140">
        <f>C14+174-10*LOG(Bpe)</f>
        <v>10.972832206451834</v>
      </c>
      <c r="E14" s="181">
        <v>18.15</v>
      </c>
      <c r="F14" s="41">
        <v>-118.5</v>
      </c>
      <c r="G14" s="27">
        <f>F14-Sbr</f>
        <v>-133.30497484620898</v>
      </c>
      <c r="H14" s="140">
        <f>G14+174-10*LOG(Bpe)</f>
        <v>7.472832206451834</v>
      </c>
      <c r="L14">
        <f>IF(A15="",100,(A15/A14)^0.5)</f>
        <v>1.3803642292545129</v>
      </c>
    </row>
    <row r="15" spans="1:12" ht="12.75">
      <c r="A15" s="181">
        <v>7.05</v>
      </c>
      <c r="B15" s="41">
        <v>-116</v>
      </c>
      <c r="C15" s="27">
        <f>B15-Sbr</f>
        <v>-130.80497484620898</v>
      </c>
      <c r="D15" s="140">
        <f>C15+174-10*LOG(Bpe)</f>
        <v>9.972832206451834</v>
      </c>
      <c r="E15" s="181">
        <v>21.2</v>
      </c>
      <c r="F15" s="41">
        <v>-117</v>
      </c>
      <c r="G15" s="27">
        <f>F15-Sbr</f>
        <v>-131.80497484620898</v>
      </c>
      <c r="H15" s="140">
        <f>G15+174-10*LOG(Bpe)</f>
        <v>8.972832206451834</v>
      </c>
      <c r="L15">
        <f>IF(A16="",100,(A16/A15)^0.5)</f>
        <v>1.199881790868058</v>
      </c>
    </row>
    <row r="16" spans="1:12" ht="12.75">
      <c r="A16" s="181">
        <v>10.15</v>
      </c>
      <c r="B16" s="41">
        <v>-116.5</v>
      </c>
      <c r="C16" s="27">
        <f>B16-Sbr</f>
        <v>-131.30497484620898</v>
      </c>
      <c r="D16" s="140">
        <f>C16+174-10*LOG(Bpe)</f>
        <v>9.472832206451834</v>
      </c>
      <c r="E16" s="181">
        <v>24.95</v>
      </c>
      <c r="F16" s="41">
        <v>-117.5</v>
      </c>
      <c r="G16" s="27">
        <f>F16-Sbr</f>
        <v>-132.30497484620898</v>
      </c>
      <c r="H16" s="140">
        <f>G16+174-10*LOG(Bpe)</f>
        <v>8.472832206451834</v>
      </c>
      <c r="L16">
        <f>IF(A17="",100,(A17/A16)^0.5)</f>
        <v>1.1807153212992278</v>
      </c>
    </row>
    <row r="17" spans="1:12" ht="12.75">
      <c r="A17" s="182">
        <v>14.15</v>
      </c>
      <c r="B17" s="50">
        <v>-118</v>
      </c>
      <c r="C17" s="136">
        <f>B17-Sbr</f>
        <v>-132.80497484620898</v>
      </c>
      <c r="D17" s="141">
        <f>C17+174-10*LOG(Bpe)</f>
        <v>7.972832206451834</v>
      </c>
      <c r="E17" s="182">
        <v>28.5</v>
      </c>
      <c r="F17" s="50">
        <v>-117</v>
      </c>
      <c r="G17" s="136">
        <f>F17-Sbr</f>
        <v>-131.80497484620898</v>
      </c>
      <c r="H17" s="141">
        <f>G17+174-10*LOG(Bpe)</f>
        <v>8.972832206451834</v>
      </c>
      <c r="L17">
        <f>IF(E14="",100,(E14/A17)^0.5)</f>
        <v>1.1325570680400572</v>
      </c>
    </row>
    <row r="18" ht="6.75" customHeight="1">
      <c r="L18">
        <f>IF(E15="",100,(E15/E14)^0.5)</f>
        <v>1.0807608787955763</v>
      </c>
    </row>
    <row r="19" spans="1:12" ht="12.75">
      <c r="A19" s="1" t="s">
        <v>80</v>
      </c>
      <c r="G19" s="174" t="s">
        <v>122</v>
      </c>
      <c r="L19">
        <f>IF(E16="",100,(E16/E15)^0.5)</f>
        <v>1.0848441327918172</v>
      </c>
    </row>
    <row r="20" spans="1:7" ht="12.75" customHeight="1">
      <c r="A20" s="1"/>
      <c r="G20" s="174" t="s">
        <v>123</v>
      </c>
    </row>
    <row r="21" spans="1:12" ht="12.75">
      <c r="A21" s="30" t="s">
        <v>61</v>
      </c>
      <c r="B21" s="30" t="s">
        <v>82</v>
      </c>
      <c r="C21" s="30" t="s">
        <v>83</v>
      </c>
      <c r="D21" s="30" t="s">
        <v>84</v>
      </c>
      <c r="E21" s="30" t="s">
        <v>85</v>
      </c>
      <c r="F21" s="30" t="s">
        <v>86</v>
      </c>
      <c r="G21" s="30" t="s">
        <v>87</v>
      </c>
      <c r="H21" s="30" t="s">
        <v>88</v>
      </c>
      <c r="I21" s="30" t="s">
        <v>89</v>
      </c>
      <c r="J21" s="30"/>
      <c r="L21">
        <f>IF(E17="",100,(E17/E16)^0.5)</f>
        <v>1.0687771372640213</v>
      </c>
    </row>
    <row r="22" spans="1:10" ht="12.75">
      <c r="A22" s="26" t="s">
        <v>64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2.75">
      <c r="A23" s="47">
        <f>A14</f>
        <v>3.7</v>
      </c>
      <c r="B23" s="46">
        <v>-98.5</v>
      </c>
      <c r="C23" s="46">
        <v>-98</v>
      </c>
      <c r="D23" s="46">
        <v>-97</v>
      </c>
      <c r="E23" s="46">
        <v>-96</v>
      </c>
      <c r="F23" s="46">
        <v>-95</v>
      </c>
      <c r="G23" s="46">
        <v>-94</v>
      </c>
      <c r="H23" s="46">
        <v>-93</v>
      </c>
      <c r="I23" s="46">
        <v>-91.5</v>
      </c>
      <c r="J23" s="145" t="s">
        <v>95</v>
      </c>
    </row>
    <row r="24" spans="1:10" ht="12.75">
      <c r="A24" s="13"/>
      <c r="B24" s="41">
        <v>-3.2</v>
      </c>
      <c r="C24" s="41">
        <v>-4</v>
      </c>
      <c r="D24" s="41">
        <v>-4.2</v>
      </c>
      <c r="E24" s="41">
        <v>-5</v>
      </c>
      <c r="F24" s="41">
        <v>-6</v>
      </c>
      <c r="G24" s="41">
        <v>-6.5</v>
      </c>
      <c r="H24" s="41">
        <v>-7.5</v>
      </c>
      <c r="I24" s="41">
        <v>-8.5</v>
      </c>
      <c r="J24" s="146" t="s">
        <v>90</v>
      </c>
    </row>
    <row r="25" spans="1:10" ht="12.75">
      <c r="A25" s="10"/>
      <c r="B25" s="16">
        <f>B24-Corr</f>
        <v>-2.146294217847288</v>
      </c>
      <c r="C25" s="16">
        <f aca="true" t="shared" si="0" ref="C25:I25">C24-Corr</f>
        <v>-2.9462942178472877</v>
      </c>
      <c r="D25" s="16">
        <f t="shared" si="0"/>
        <v>-3.146294217847288</v>
      </c>
      <c r="E25" s="16">
        <f t="shared" si="0"/>
        <v>-3.9462942178472877</v>
      </c>
      <c r="F25" s="16">
        <f t="shared" si="0"/>
        <v>-4.946294217847288</v>
      </c>
      <c r="G25" s="16">
        <f t="shared" si="0"/>
        <v>-5.446294217847288</v>
      </c>
      <c r="H25" s="16">
        <f t="shared" si="0"/>
        <v>-6.446294217847288</v>
      </c>
      <c r="I25" s="16">
        <f t="shared" si="0"/>
        <v>-7.446294217847288</v>
      </c>
      <c r="J25" s="147" t="s">
        <v>94</v>
      </c>
    </row>
    <row r="26" spans="1:10" ht="12.75">
      <c r="A26" s="47">
        <f>A15</f>
        <v>7.05</v>
      </c>
      <c r="B26" s="46">
        <v>-98.5</v>
      </c>
      <c r="C26" s="46">
        <v>-97.5</v>
      </c>
      <c r="D26" s="46">
        <v>-97</v>
      </c>
      <c r="E26" s="46">
        <v>-96</v>
      </c>
      <c r="F26" s="46">
        <v>-95.5</v>
      </c>
      <c r="G26" s="46">
        <v>-94.5</v>
      </c>
      <c r="H26" s="46">
        <v>-93.5</v>
      </c>
      <c r="I26" s="46">
        <v>-91.5</v>
      </c>
      <c r="J26" s="148" t="s">
        <v>95</v>
      </c>
    </row>
    <row r="27" spans="1:10" ht="12.75">
      <c r="A27" s="13"/>
      <c r="B27" s="41">
        <v>-3.2</v>
      </c>
      <c r="C27" s="41">
        <v>-4</v>
      </c>
      <c r="D27" s="41">
        <v>-4.2</v>
      </c>
      <c r="E27" s="41">
        <v>-5</v>
      </c>
      <c r="F27" s="41">
        <v>-6</v>
      </c>
      <c r="G27" s="41">
        <v>-6.5</v>
      </c>
      <c r="H27" s="41">
        <v>-7.5</v>
      </c>
      <c r="I27" s="41">
        <v>-8.5</v>
      </c>
      <c r="J27" s="149" t="s">
        <v>90</v>
      </c>
    </row>
    <row r="28" spans="1:10" ht="12.75">
      <c r="A28" s="10"/>
      <c r="B28" s="45">
        <f aca="true" t="shared" si="1" ref="B28:I28">B27-Corr</f>
        <v>-2.146294217847288</v>
      </c>
      <c r="C28" s="45">
        <f t="shared" si="1"/>
        <v>-2.9462942178472877</v>
      </c>
      <c r="D28" s="45">
        <f t="shared" si="1"/>
        <v>-3.146294217847288</v>
      </c>
      <c r="E28" s="45">
        <f t="shared" si="1"/>
        <v>-3.9462942178472877</v>
      </c>
      <c r="F28" s="45">
        <f t="shared" si="1"/>
        <v>-4.946294217847288</v>
      </c>
      <c r="G28" s="45">
        <f t="shared" si="1"/>
        <v>-5.446294217847288</v>
      </c>
      <c r="H28" s="45">
        <f t="shared" si="1"/>
        <v>-6.446294217847288</v>
      </c>
      <c r="I28" s="45">
        <f t="shared" si="1"/>
        <v>-7.446294217847288</v>
      </c>
      <c r="J28" s="147" t="s">
        <v>94</v>
      </c>
    </row>
    <row r="29" spans="1:10" ht="12.75">
      <c r="A29" s="47">
        <f>A16</f>
        <v>10.15</v>
      </c>
      <c r="B29" s="46">
        <v>-99.5</v>
      </c>
      <c r="C29" s="46">
        <v>-98.5</v>
      </c>
      <c r="D29" s="46">
        <v>-98</v>
      </c>
      <c r="E29" s="46">
        <v>-97.5</v>
      </c>
      <c r="F29" s="46">
        <v>-96.5</v>
      </c>
      <c r="G29" s="46">
        <v>-95.5</v>
      </c>
      <c r="H29" s="46">
        <v>-94.5</v>
      </c>
      <c r="I29" s="46">
        <v>-92.5</v>
      </c>
      <c r="J29" s="145" t="s">
        <v>95</v>
      </c>
    </row>
    <row r="30" spans="1:10" ht="12.75">
      <c r="A30" s="13"/>
      <c r="B30" s="41">
        <v>-2.7</v>
      </c>
      <c r="C30" s="41">
        <v>-3.3</v>
      </c>
      <c r="D30" s="41">
        <v>-4.2</v>
      </c>
      <c r="E30" s="41">
        <v>-4.5</v>
      </c>
      <c r="F30" s="41">
        <v>-5.7</v>
      </c>
      <c r="G30" s="41">
        <v>-6.1</v>
      </c>
      <c r="H30" s="41">
        <v>-6.5</v>
      </c>
      <c r="I30" s="41">
        <v>-8.2</v>
      </c>
      <c r="J30" s="146" t="s">
        <v>90</v>
      </c>
    </row>
    <row r="31" spans="1:10" ht="12.75">
      <c r="A31" s="13"/>
      <c r="B31" s="16">
        <f aca="true" t="shared" si="2" ref="B31:I31">B30-Corr</f>
        <v>-1.6462942178472877</v>
      </c>
      <c r="C31" s="16">
        <f t="shared" si="2"/>
        <v>-2.2462942178472876</v>
      </c>
      <c r="D31" s="16">
        <f t="shared" si="2"/>
        <v>-3.146294217847288</v>
      </c>
      <c r="E31" s="16">
        <f t="shared" si="2"/>
        <v>-3.4462942178472877</v>
      </c>
      <c r="F31" s="16">
        <f t="shared" si="2"/>
        <v>-4.646294217847288</v>
      </c>
      <c r="G31" s="16">
        <f t="shared" si="2"/>
        <v>-5.046294217847287</v>
      </c>
      <c r="H31" s="16">
        <f t="shared" si="2"/>
        <v>-5.446294217847288</v>
      </c>
      <c r="I31" s="16">
        <f t="shared" si="2"/>
        <v>-7.146294217847287</v>
      </c>
      <c r="J31" s="146" t="s">
        <v>94</v>
      </c>
    </row>
    <row r="32" spans="1:10" ht="12.75">
      <c r="A32" s="47">
        <f>A17</f>
        <v>14.15</v>
      </c>
      <c r="B32" s="46">
        <v>-102.5</v>
      </c>
      <c r="C32" s="46">
        <v>-101.5</v>
      </c>
      <c r="D32" s="46">
        <v>-100.5</v>
      </c>
      <c r="E32" s="46">
        <v>-100</v>
      </c>
      <c r="F32" s="46">
        <v>-99.5</v>
      </c>
      <c r="G32" s="46">
        <v>-98.5</v>
      </c>
      <c r="H32" s="46">
        <v>-97.5</v>
      </c>
      <c r="I32" s="46">
        <v>-95</v>
      </c>
      <c r="J32" s="145" t="s">
        <v>95</v>
      </c>
    </row>
    <row r="33" spans="1:10" ht="12.75">
      <c r="A33" s="13"/>
      <c r="B33" s="41">
        <v>-3.2</v>
      </c>
      <c r="C33" s="41">
        <v>-4</v>
      </c>
      <c r="D33" s="41">
        <v>-4.5</v>
      </c>
      <c r="E33" s="41">
        <v>-4.7</v>
      </c>
      <c r="F33" s="41">
        <v>-5.5</v>
      </c>
      <c r="G33" s="41">
        <v>-6.2</v>
      </c>
      <c r="H33" s="41">
        <v>-7</v>
      </c>
      <c r="I33" s="41">
        <v>-7.8</v>
      </c>
      <c r="J33" s="146" t="s">
        <v>90</v>
      </c>
    </row>
    <row r="34" spans="1:10" ht="12.75">
      <c r="A34" s="10"/>
      <c r="B34" s="45">
        <f aca="true" t="shared" si="3" ref="B34:I34">B33-Corr</f>
        <v>-2.146294217847288</v>
      </c>
      <c r="C34" s="45">
        <f t="shared" si="3"/>
        <v>-2.9462942178472877</v>
      </c>
      <c r="D34" s="45">
        <f t="shared" si="3"/>
        <v>-3.4462942178472877</v>
      </c>
      <c r="E34" s="45">
        <f t="shared" si="3"/>
        <v>-3.646294217847288</v>
      </c>
      <c r="F34" s="45">
        <f t="shared" si="3"/>
        <v>-4.446294217847288</v>
      </c>
      <c r="G34" s="45">
        <f t="shared" si="3"/>
        <v>-5.146294217847288</v>
      </c>
      <c r="H34" s="45">
        <f t="shared" si="3"/>
        <v>-5.946294217847288</v>
      </c>
      <c r="I34" s="45">
        <f t="shared" si="3"/>
        <v>-6.7462942178472876</v>
      </c>
      <c r="J34" s="147" t="s">
        <v>94</v>
      </c>
    </row>
    <row r="35" spans="1:10" ht="12.75">
      <c r="A35" s="47">
        <f>E14</f>
        <v>18.15</v>
      </c>
      <c r="B35" s="46">
        <v>-102.5</v>
      </c>
      <c r="C35" s="46">
        <v>-101.5</v>
      </c>
      <c r="D35" s="46">
        <v>-100.5</v>
      </c>
      <c r="E35" s="46">
        <v>-100</v>
      </c>
      <c r="F35" s="46">
        <v>-99</v>
      </c>
      <c r="G35" s="46">
        <v>-98</v>
      </c>
      <c r="H35" s="46">
        <v>-97.5</v>
      </c>
      <c r="I35" s="46">
        <v>-95</v>
      </c>
      <c r="J35" s="145" t="s">
        <v>95</v>
      </c>
    </row>
    <row r="36" spans="1:10" ht="12.75">
      <c r="A36" s="13"/>
      <c r="B36" s="41">
        <v>-2.7</v>
      </c>
      <c r="C36" s="41">
        <v>-3.5</v>
      </c>
      <c r="D36" s="41">
        <v>-4</v>
      </c>
      <c r="E36" s="41">
        <v>-4.5</v>
      </c>
      <c r="F36" s="41">
        <v>-5</v>
      </c>
      <c r="G36" s="41">
        <v>-6</v>
      </c>
      <c r="H36" s="41">
        <v>-6.7</v>
      </c>
      <c r="I36" s="41">
        <v>-8.5</v>
      </c>
      <c r="J36" s="146" t="s">
        <v>90</v>
      </c>
    </row>
    <row r="37" spans="1:10" ht="12.75">
      <c r="A37" s="10"/>
      <c r="B37" s="45">
        <f aca="true" t="shared" si="4" ref="B37:I37">B36-Corr</f>
        <v>-1.6462942178472877</v>
      </c>
      <c r="C37" s="45">
        <f t="shared" si="4"/>
        <v>-2.4462942178472877</v>
      </c>
      <c r="D37" s="45">
        <f t="shared" si="4"/>
        <v>-2.9462942178472877</v>
      </c>
      <c r="E37" s="45">
        <f t="shared" si="4"/>
        <v>-3.4462942178472877</v>
      </c>
      <c r="F37" s="45">
        <f t="shared" si="4"/>
        <v>-3.9462942178472877</v>
      </c>
      <c r="G37" s="45">
        <f t="shared" si="4"/>
        <v>-4.946294217847288</v>
      </c>
      <c r="H37" s="45">
        <f t="shared" si="4"/>
        <v>-5.646294217847288</v>
      </c>
      <c r="I37" s="45">
        <f t="shared" si="4"/>
        <v>-7.446294217847288</v>
      </c>
      <c r="J37" s="147" t="s">
        <v>94</v>
      </c>
    </row>
    <row r="38" spans="1:10" ht="12.75">
      <c r="A38" s="47">
        <f>E15</f>
        <v>21.2</v>
      </c>
      <c r="B38" s="46">
        <v>-101.5</v>
      </c>
      <c r="C38" s="46">
        <v>-101</v>
      </c>
      <c r="D38" s="46">
        <v>-100</v>
      </c>
      <c r="E38" s="46">
        <v>-99</v>
      </c>
      <c r="F38" s="46">
        <v>-98</v>
      </c>
      <c r="G38" s="46">
        <v>-97</v>
      </c>
      <c r="H38" s="46">
        <v>-96.5</v>
      </c>
      <c r="I38" s="46">
        <v>-94</v>
      </c>
      <c r="J38" s="145" t="s">
        <v>95</v>
      </c>
    </row>
    <row r="39" spans="1:10" ht="12.75">
      <c r="A39" s="13"/>
      <c r="B39" s="41">
        <v>-2.7</v>
      </c>
      <c r="C39" s="41">
        <v>-3.7</v>
      </c>
      <c r="D39" s="41">
        <v>-4</v>
      </c>
      <c r="E39" s="41">
        <v>-4.5</v>
      </c>
      <c r="F39" s="41">
        <v>-5.6</v>
      </c>
      <c r="G39" s="41">
        <v>-6</v>
      </c>
      <c r="H39" s="41">
        <v>-6.5</v>
      </c>
      <c r="I39" s="41">
        <v>-8</v>
      </c>
      <c r="J39" s="146" t="s">
        <v>90</v>
      </c>
    </row>
    <row r="40" spans="1:10" ht="12.75">
      <c r="A40" s="10"/>
      <c r="B40" s="45">
        <f aca="true" t="shared" si="5" ref="B40:I40">B39-Corr</f>
        <v>-1.6462942178472877</v>
      </c>
      <c r="C40" s="45">
        <f t="shared" si="5"/>
        <v>-2.646294217847288</v>
      </c>
      <c r="D40" s="45">
        <f t="shared" si="5"/>
        <v>-2.9462942178472877</v>
      </c>
      <c r="E40" s="45">
        <f t="shared" si="5"/>
        <v>-3.4462942178472877</v>
      </c>
      <c r="F40" s="45">
        <f t="shared" si="5"/>
        <v>-4.546294217847287</v>
      </c>
      <c r="G40" s="45">
        <f t="shared" si="5"/>
        <v>-4.946294217847288</v>
      </c>
      <c r="H40" s="45">
        <f t="shared" si="5"/>
        <v>-5.446294217847288</v>
      </c>
      <c r="I40" s="45">
        <f t="shared" si="5"/>
        <v>-6.946294217847288</v>
      </c>
      <c r="J40" s="147" t="s">
        <v>94</v>
      </c>
    </row>
    <row r="41" spans="1:10" ht="12.75">
      <c r="A41" s="47">
        <f>E16</f>
        <v>24.95</v>
      </c>
      <c r="B41" s="46">
        <v>-102.5</v>
      </c>
      <c r="C41" s="46">
        <v>-102</v>
      </c>
      <c r="D41" s="46">
        <v>-101.5</v>
      </c>
      <c r="E41" s="46">
        <v>-100.5</v>
      </c>
      <c r="F41" s="46">
        <v>-100</v>
      </c>
      <c r="G41" s="46">
        <v>-99</v>
      </c>
      <c r="H41" s="46">
        <v>-98</v>
      </c>
      <c r="I41" s="46">
        <v>-96</v>
      </c>
      <c r="J41" s="145" t="s">
        <v>95</v>
      </c>
    </row>
    <row r="42" spans="1:10" ht="12.75">
      <c r="A42" s="13"/>
      <c r="B42" s="41">
        <v>-3.2</v>
      </c>
      <c r="C42" s="41">
        <v>-3.7</v>
      </c>
      <c r="D42" s="41">
        <v>-4.2</v>
      </c>
      <c r="E42" s="41">
        <v>-5</v>
      </c>
      <c r="F42" s="41">
        <v>-5.5</v>
      </c>
      <c r="G42" s="41">
        <v>-6.1</v>
      </c>
      <c r="H42" s="41">
        <v>-7</v>
      </c>
      <c r="I42" s="41">
        <v>-8.5</v>
      </c>
      <c r="J42" s="146" t="s">
        <v>90</v>
      </c>
    </row>
    <row r="43" spans="1:10" ht="12.75">
      <c r="A43" s="10"/>
      <c r="B43" s="45">
        <f aca="true" t="shared" si="6" ref="B43:I43">B42-Corr</f>
        <v>-2.146294217847288</v>
      </c>
      <c r="C43" s="45">
        <f t="shared" si="6"/>
        <v>-2.646294217847288</v>
      </c>
      <c r="D43" s="45">
        <f t="shared" si="6"/>
        <v>-3.146294217847288</v>
      </c>
      <c r="E43" s="45">
        <f t="shared" si="6"/>
        <v>-3.9462942178472877</v>
      </c>
      <c r="F43" s="45">
        <f t="shared" si="6"/>
        <v>-4.446294217847288</v>
      </c>
      <c r="G43" s="45">
        <f t="shared" si="6"/>
        <v>-5.046294217847287</v>
      </c>
      <c r="H43" s="45">
        <f t="shared" si="6"/>
        <v>-5.946294217847288</v>
      </c>
      <c r="I43" s="45">
        <f t="shared" si="6"/>
        <v>-7.446294217847288</v>
      </c>
      <c r="J43" s="147" t="s">
        <v>94</v>
      </c>
    </row>
    <row r="44" spans="1:10" ht="12.75">
      <c r="A44" s="47">
        <f>E17</f>
        <v>28.5</v>
      </c>
      <c r="B44" s="46">
        <v>-102.5</v>
      </c>
      <c r="C44" s="46">
        <v>-102</v>
      </c>
      <c r="D44" s="46">
        <v>-101.5</v>
      </c>
      <c r="E44" s="46">
        <v>-100.5</v>
      </c>
      <c r="F44" s="46">
        <v>-100</v>
      </c>
      <c r="G44" s="46">
        <v>-99</v>
      </c>
      <c r="H44" s="46">
        <v>-98</v>
      </c>
      <c r="I44" s="46">
        <v>-96</v>
      </c>
      <c r="J44" s="145" t="s">
        <v>95</v>
      </c>
    </row>
    <row r="45" spans="1:10" ht="12.75">
      <c r="A45" s="13"/>
      <c r="B45" s="41">
        <v>-3.2</v>
      </c>
      <c r="C45" s="41">
        <v>-3.5</v>
      </c>
      <c r="D45" s="41">
        <v>-4</v>
      </c>
      <c r="E45" s="41">
        <v>-4.7</v>
      </c>
      <c r="F45" s="41">
        <v>-5.5</v>
      </c>
      <c r="G45" s="41">
        <v>-6.2</v>
      </c>
      <c r="H45" s="41">
        <v>-7</v>
      </c>
      <c r="I45" s="41">
        <v>-8.5</v>
      </c>
      <c r="J45" s="146" t="s">
        <v>90</v>
      </c>
    </row>
    <row r="46" spans="1:10" ht="12.75">
      <c r="A46" s="10"/>
      <c r="B46" s="45">
        <f aca="true" t="shared" si="7" ref="B46:I46">B45-Corr</f>
        <v>-2.146294217847288</v>
      </c>
      <c r="C46" s="45">
        <f t="shared" si="7"/>
        <v>-2.4462942178472877</v>
      </c>
      <c r="D46" s="45">
        <f t="shared" si="7"/>
        <v>-2.9462942178472877</v>
      </c>
      <c r="E46" s="45">
        <f t="shared" si="7"/>
        <v>-3.646294217847288</v>
      </c>
      <c r="F46" s="45">
        <f t="shared" si="7"/>
        <v>-4.446294217847288</v>
      </c>
      <c r="G46" s="45">
        <f t="shared" si="7"/>
        <v>-5.146294217847288</v>
      </c>
      <c r="H46" s="45">
        <f t="shared" si="7"/>
        <v>-5.946294217847288</v>
      </c>
      <c r="I46" s="45">
        <f t="shared" si="7"/>
        <v>-7.446294217847288</v>
      </c>
      <c r="J46" s="147" t="s">
        <v>94</v>
      </c>
    </row>
    <row r="47" spans="1:10" ht="12.75">
      <c r="A47" s="152"/>
      <c r="B47" s="100"/>
      <c r="C47" s="30" t="s">
        <v>96</v>
      </c>
      <c r="D47" s="30" t="s">
        <v>97</v>
      </c>
      <c r="E47" s="30" t="s">
        <v>98</v>
      </c>
      <c r="F47" s="30" t="s">
        <v>99</v>
      </c>
      <c r="G47" s="30" t="s">
        <v>100</v>
      </c>
      <c r="H47" s="30" t="s">
        <v>101</v>
      </c>
      <c r="I47" s="30" t="s">
        <v>102</v>
      </c>
      <c r="J47" s="144"/>
    </row>
    <row r="48" spans="1:10" ht="12.75">
      <c r="A48" s="153"/>
      <c r="B48" s="154" t="s">
        <v>91</v>
      </c>
      <c r="C48" s="150">
        <f>(C23+C26+C29+C32+C35+C38+C41+C44-B23-B26-B29-B32-B35-B38-B41-B44)/8</f>
        <v>0.75</v>
      </c>
      <c r="D48" s="150">
        <f aca="true" t="shared" si="8" ref="D48:I48">(D23+D26+D29+D32+D35+D38+D41+D44-C23-C26-C29-C32-C35-C38-C41-C44)/8</f>
        <v>0.75</v>
      </c>
      <c r="E48" s="150">
        <f t="shared" si="8"/>
        <v>0.8125</v>
      </c>
      <c r="F48" s="150">
        <f t="shared" si="8"/>
        <v>0.75</v>
      </c>
      <c r="G48" s="150">
        <f t="shared" si="8"/>
        <v>1</v>
      </c>
      <c r="H48" s="150">
        <f t="shared" si="8"/>
        <v>0.875</v>
      </c>
      <c r="I48" s="150">
        <f t="shared" si="8"/>
        <v>2.125</v>
      </c>
      <c r="J48" s="151" t="s">
        <v>0</v>
      </c>
    </row>
    <row r="49" ht="8.25" customHeight="1"/>
    <row r="50" ht="12.75">
      <c r="A50" s="143" t="s">
        <v>92</v>
      </c>
    </row>
    <row r="51" ht="7.5" customHeight="1"/>
    <row r="52" spans="1:9" ht="12.75">
      <c r="A52" s="144"/>
      <c r="B52" s="30" t="s">
        <v>82</v>
      </c>
      <c r="C52" s="30" t="s">
        <v>83</v>
      </c>
      <c r="D52" s="30" t="s">
        <v>84</v>
      </c>
      <c r="E52" s="30" t="s">
        <v>85</v>
      </c>
      <c r="F52" s="30" t="s">
        <v>86</v>
      </c>
      <c r="G52" s="30" t="s">
        <v>87</v>
      </c>
      <c r="H52" s="30" t="s">
        <v>88</v>
      </c>
      <c r="I52" s="30" t="s">
        <v>89</v>
      </c>
    </row>
    <row r="53" spans="1:9" ht="12.75">
      <c r="A53" s="10" t="s">
        <v>93</v>
      </c>
      <c r="B53" s="141">
        <f>(B25+B28+B31+B34+B37+B40+B43+B46)/8</f>
        <v>-1.958794217847288</v>
      </c>
      <c r="C53" s="141">
        <f aca="true" t="shared" si="9" ref="C53:I53">(C25+C28+C31+C34+C37+C40+C43+C46)/8</f>
        <v>-2.658794217847288</v>
      </c>
      <c r="D53" s="141">
        <f t="shared" si="9"/>
        <v>-3.1087942178472883</v>
      </c>
      <c r="E53" s="141">
        <f t="shared" si="9"/>
        <v>-3.683794217847288</v>
      </c>
      <c r="F53" s="141">
        <f t="shared" si="9"/>
        <v>-4.546294217847287</v>
      </c>
      <c r="G53" s="141">
        <f t="shared" si="9"/>
        <v>-5.146294217847288</v>
      </c>
      <c r="H53" s="141">
        <f t="shared" si="9"/>
        <v>-5.908794217847288</v>
      </c>
      <c r="I53" s="141">
        <f t="shared" si="9"/>
        <v>-7.258794217847288</v>
      </c>
    </row>
  </sheetData>
  <sheetProtection password="C8B3" sheet="1" objects="1" scenarios="1"/>
  <printOptions/>
  <pageMargins left="0.48" right="0.15" top="1" bottom="1" header="0.4921259845" footer="0.492125984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Jacques MdM</cp:lastModifiedBy>
  <cp:lastPrinted>2005-03-07T15:43:45Z</cp:lastPrinted>
  <dcterms:created xsi:type="dcterms:W3CDTF">2005-03-06T11:30:37Z</dcterms:created>
  <dcterms:modified xsi:type="dcterms:W3CDTF">2005-03-09T23:07:22Z</dcterms:modified>
  <cp:category/>
  <cp:version/>
  <cp:contentType/>
  <cp:contentStatus/>
</cp:coreProperties>
</file>